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KYTC\Drainage\"/>
    </mc:Choice>
  </mc:AlternateContent>
  <xr:revisionPtr revIDLastSave="0" documentId="13_ncr:1_{1BC7A7AD-67C1-4A47-897D-958CAB950FC5}" xr6:coauthVersionLast="47" xr6:coauthVersionMax="47" xr10:uidLastSave="{00000000-0000-0000-0000-000000000000}"/>
  <bookViews>
    <workbookView xWindow="0" yWindow="0" windowWidth="19185" windowHeight="15570" activeTab="1" xr2:uid="{00000000-000D-0000-FFFF-FFFF00000000}"/>
  </bookViews>
  <sheets>
    <sheet name="Instructions" sheetId="4" r:id="rId1"/>
    <sheet name="Data Input-HW on Grate Report" sheetId="2" r:id="rId2"/>
    <sheet name="Calculations" sheetId="3" r:id="rId3"/>
  </sheets>
  <definedNames>
    <definedName name="_xlnm.Print_Area" localSheetId="1">'Data Input-HW on Grate Report'!$A$1:$F$40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3" l="1"/>
  <c r="E6" i="3"/>
  <c r="D7" i="3"/>
  <c r="E7" i="3"/>
  <c r="D8" i="3"/>
  <c r="E8" i="3"/>
  <c r="D9" i="3"/>
  <c r="E9" i="3"/>
  <c r="D10" i="3"/>
  <c r="E10" i="3"/>
  <c r="D11" i="3"/>
  <c r="E11" i="3"/>
  <c r="D12" i="3"/>
  <c r="E12" i="3"/>
  <c r="D13" i="3"/>
  <c r="E13" i="3"/>
  <c r="D14" i="3"/>
  <c r="E14" i="3"/>
  <c r="D15" i="3"/>
  <c r="E15" i="3"/>
  <c r="E33" i="3" l="1"/>
  <c r="C30" i="3"/>
  <c r="C21" i="3" s="1"/>
  <c r="B30" i="3"/>
  <c r="B21" i="3" s="1"/>
  <c r="C26" i="3"/>
  <c r="C17" i="3" s="1"/>
  <c r="B26" i="3"/>
  <c r="B17" i="3" s="1"/>
  <c r="C25" i="3"/>
  <c r="C16" i="3" s="1"/>
  <c r="B25" i="3"/>
  <c r="B16" i="3" s="1"/>
  <c r="D20" i="3"/>
  <c r="E20" i="3" s="1"/>
  <c r="K18" i="3"/>
  <c r="E19" i="3"/>
  <c r="D19" i="3"/>
  <c r="J17" i="3"/>
  <c r="C12" i="2"/>
  <c r="C10" i="2"/>
  <c r="K17" i="3" l="1"/>
  <c r="E18" i="3" s="1"/>
  <c r="E25" i="3"/>
  <c r="E16" i="3" s="1"/>
  <c r="D26" i="3"/>
  <c r="D17" i="3" s="1"/>
  <c r="E26" i="3"/>
  <c r="E17" i="3" s="1"/>
  <c r="E35" i="3"/>
  <c r="J18" i="3"/>
  <c r="D18" i="3" s="1"/>
  <c r="D25" i="3"/>
  <c r="D16" i="3" s="1"/>
  <c r="D30" i="3"/>
  <c r="D21" i="3" s="1"/>
  <c r="E30" i="3"/>
  <c r="E21" i="3" s="1"/>
  <c r="E34" i="3"/>
  <c r="B26" i="2" l="1"/>
  <c r="D26" i="2"/>
  <c r="C26" i="2"/>
  <c r="D27" i="2"/>
  <c r="C27" i="2"/>
  <c r="B27" i="2"/>
  <c r="D29" i="2" l="1"/>
  <c r="B29" i="2"/>
  <c r="C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Lanham</author>
  </authors>
  <commentList>
    <comment ref="E15" authorId="0" shapeId="0" xr:uid="{00000000-0006-0000-0200-000001000000}">
      <text>
        <r>
          <rPr>
            <b/>
            <sz val="8"/>
            <color indexed="81"/>
            <rFont val="Tahoma"/>
            <family val="2"/>
          </rPr>
          <t>- Curb side is elimated from perimeter.
- Clogging % only applied to width.</t>
        </r>
      </text>
    </comment>
    <comment ref="K17" authorId="0" shapeId="0" xr:uid="{00000000-0006-0000-0200-000003000000}">
      <text>
        <r>
          <rPr>
            <b/>
            <sz val="8"/>
            <color indexed="81"/>
            <rFont val="Tahoma"/>
            <family val="2"/>
          </rPr>
          <t>- Curb side is elimated from perimeter.
- Clogging % only applied to width.</t>
        </r>
      </text>
    </comment>
    <comment ref="K18" authorId="0" shapeId="0" xr:uid="{00000000-0006-0000-0200-000005000000}">
      <text>
        <r>
          <rPr>
            <b/>
            <sz val="8"/>
            <color indexed="81"/>
            <rFont val="Tahoma"/>
            <family val="2"/>
          </rPr>
          <t>- Curb side is elimated from perimeter.
- Clogging % only applied to width.</t>
        </r>
      </text>
    </comment>
    <comment ref="E19" authorId="0" shapeId="0" xr:uid="{00000000-0006-0000-0200-000004000000}">
      <text>
        <r>
          <rPr>
            <b/>
            <sz val="8"/>
            <color indexed="81"/>
            <rFont val="Tahoma"/>
            <family val="2"/>
          </rPr>
          <t>measured in CADD</t>
        </r>
      </text>
    </comment>
  </commentList>
</comments>
</file>

<file path=xl/sharedStrings.xml><?xml version="1.0" encoding="utf-8"?>
<sst xmlns="http://schemas.openxmlformats.org/spreadsheetml/2006/main" count="111" uniqueCount="80">
  <si>
    <t>Inlet Types</t>
  </si>
  <si>
    <t>Non-Standard</t>
  </si>
  <si>
    <t>Q10</t>
  </si>
  <si>
    <t>Q25</t>
  </si>
  <si>
    <t>Q100</t>
  </si>
  <si>
    <t>Length</t>
  </si>
  <si>
    <t>Width</t>
  </si>
  <si>
    <t>Grate Elev.</t>
  </si>
  <si>
    <t>Area</t>
  </si>
  <si>
    <t>Perim.</t>
  </si>
  <si>
    <t xml:space="preserve">     English Units</t>
  </si>
  <si>
    <t>No. of Bars</t>
  </si>
  <si>
    <t>DBI used</t>
  </si>
  <si>
    <t>Perim</t>
  </si>
  <si>
    <t>Type 1</t>
  </si>
  <si>
    <t>Type 2</t>
  </si>
  <si>
    <t>Type 3</t>
  </si>
  <si>
    <t>Type 4</t>
  </si>
  <si>
    <t>Type 5</t>
  </si>
  <si>
    <t>Type 6</t>
  </si>
  <si>
    <t>Type 7</t>
  </si>
  <si>
    <t>Type 10</t>
  </si>
  <si>
    <t>Type 11 (w/curb)</t>
  </si>
  <si>
    <t>Type 14</t>
  </si>
  <si>
    <t>Type 12 (w/curb)</t>
  </si>
  <si>
    <t>Type 12 (w/out curb)</t>
  </si>
  <si>
    <t>Controling HW</t>
  </si>
  <si>
    <t>Clear</t>
  </si>
  <si>
    <t>Type 13S (Vane)</t>
  </si>
  <si>
    <t>Type 13S (45° Grate)</t>
  </si>
  <si>
    <t>Type 15</t>
  </si>
  <si>
    <t>Clogging</t>
  </si>
  <si>
    <t>(Grate</t>
  </si>
  <si>
    <t>Removed)</t>
  </si>
  <si>
    <t>Net</t>
  </si>
  <si>
    <t>Type 11</t>
  </si>
  <si>
    <t>Type 13S</t>
  </si>
  <si>
    <t>Remarks</t>
  </si>
  <si>
    <t>See Std. Dwgs. For Length Increments</t>
  </si>
  <si>
    <t>(ft)</t>
  </si>
  <si>
    <t>Longit. Bar</t>
  </si>
  <si>
    <t>Width (in)</t>
  </si>
  <si>
    <t>Trans. Bar</t>
  </si>
  <si>
    <t>No. of</t>
  </si>
  <si>
    <t>Grates</t>
  </si>
  <si>
    <t>Calculations for different grates on DBI TY 13 (same for DBI TY 16)</t>
  </si>
  <si>
    <t>Most conservative answer is displayed in Net Area and Net Perim cells to the left.</t>
  </si>
  <si>
    <t xml:space="preserve">KYTC Drop Box </t>
  </si>
  <si>
    <t>Select Inlet Type</t>
  </si>
  <si>
    <t>For Type 12(w/curb) Grates Only</t>
  </si>
  <si>
    <t>For Non-Standard Grates Only</t>
  </si>
  <si>
    <t>For Type 12 (w/out curb) Grates Only</t>
  </si>
  <si>
    <t>ft</t>
  </si>
  <si>
    <r>
      <t>Area (Orifice) Control</t>
    </r>
    <r>
      <rPr>
        <b/>
        <vertAlign val="superscript"/>
        <sz val="10"/>
        <rFont val="Arial"/>
        <family val="2"/>
      </rPr>
      <t>(2)</t>
    </r>
  </si>
  <si>
    <r>
      <t xml:space="preserve">Q (Surface Flow to Inlet) </t>
    </r>
    <r>
      <rPr>
        <vertAlign val="superscript"/>
        <sz val="10"/>
        <rFont val="Arial"/>
        <family val="2"/>
      </rPr>
      <t>(1)</t>
    </r>
  </si>
  <si>
    <t>(1) Flow from other program (KYTC Rational Method Spreadsheet, StromCAD, ORD Drainage, InRoads Storm and Sanitary</t>
  </si>
  <si>
    <r>
      <t>(3) Orifice flow calculation = Q = C</t>
    </r>
    <r>
      <rPr>
        <vertAlign val="subscript"/>
        <sz val="8"/>
        <rFont val="Arial"/>
        <family val="2"/>
      </rPr>
      <t>o</t>
    </r>
    <r>
      <rPr>
        <sz val="8"/>
        <rFont val="Arial"/>
        <family val="2"/>
      </rPr>
      <t>A</t>
    </r>
    <r>
      <rPr>
        <vertAlign val="subscript"/>
        <sz val="8"/>
        <rFont val="Arial"/>
        <family val="2"/>
      </rPr>
      <t>g</t>
    </r>
    <r>
      <rPr>
        <sz val="8"/>
        <rFont val="Arial"/>
        <family val="2"/>
      </rPr>
      <t xml:space="preserve"> (2 g d)</t>
    </r>
    <r>
      <rPr>
        <vertAlign val="superscript"/>
        <sz val="8"/>
        <rFont val="Arial"/>
        <family val="2"/>
      </rPr>
      <t>.5</t>
    </r>
    <r>
      <rPr>
        <sz val="8"/>
        <rFont val="Arial"/>
        <family val="2"/>
      </rPr>
      <t>, where C</t>
    </r>
    <r>
      <rPr>
        <vertAlign val="subscript"/>
        <sz val="8"/>
        <rFont val="Arial"/>
        <family val="2"/>
      </rPr>
      <t>o</t>
    </r>
    <r>
      <rPr>
        <sz val="8"/>
        <rFont val="Arial"/>
        <family val="2"/>
      </rPr>
      <t xml:space="preserve"> = Orifice coefficent = 0.67, A</t>
    </r>
    <r>
      <rPr>
        <vertAlign val="subscript"/>
        <sz val="8"/>
        <rFont val="Arial"/>
        <family val="2"/>
      </rPr>
      <t>g</t>
    </r>
    <r>
      <rPr>
        <sz val="8"/>
        <rFont val="Arial"/>
        <family val="2"/>
      </rPr>
      <t xml:space="preserve"> = Clear opening of the grate in ft</t>
    </r>
    <r>
      <rPr>
        <vertAlign val="superscript"/>
        <sz val="8"/>
        <rFont val="Arial"/>
        <family val="2"/>
      </rPr>
      <t>2</t>
    </r>
    <r>
      <rPr>
        <sz val="8"/>
        <rFont val="Arial"/>
        <family val="2"/>
      </rPr>
      <t>, and g is the gravitational constant = 32.16 ft/s</t>
    </r>
    <r>
      <rPr>
        <vertAlign val="superscript"/>
        <sz val="8"/>
        <rFont val="Arial"/>
        <family val="2"/>
      </rPr>
      <t>2</t>
    </r>
    <r>
      <rPr>
        <sz val="8"/>
        <rFont val="Arial"/>
        <family val="2"/>
      </rPr>
      <t xml:space="preserve"> (HEC 22 Eq. 4-27)</t>
    </r>
  </si>
  <si>
    <r>
      <t>Perimeter (Weir) Control</t>
    </r>
    <r>
      <rPr>
        <b/>
        <vertAlign val="superscript"/>
        <sz val="10"/>
        <rFont val="Arial"/>
        <family val="2"/>
      </rPr>
      <t>(3)</t>
    </r>
  </si>
  <si>
    <t>This spreadsheet is based on Chapter 4.4.5 of HEC-22, the Urban Drainage Design Manual.</t>
  </si>
  <si>
    <t>1)</t>
  </si>
  <si>
    <t xml:space="preserve">Enter the surface flow that is intercepted by the grate of the inlet.  The spreadsheet allows for 10-, 25- and 100-year flows.  </t>
  </si>
  <si>
    <t>These flows can come from the KYTC Rational Method Calculations 17d Spreadsheet, ORD Drainage, StormCAD, InRoads Storm and Sanitary,</t>
  </si>
  <si>
    <t>or any other accepted program or methodology for rational flow.</t>
  </si>
  <si>
    <t>2)</t>
  </si>
  <si>
    <t>Select the inlet type to be evaluated</t>
  </si>
  <si>
    <t>3)</t>
  </si>
  <si>
    <t>If selecting a Type 12 Inlet, please determine if it is with or without a curb, and enter the length of the grate in the appropriate field.</t>
  </si>
  <si>
    <t>4)</t>
  </si>
  <si>
    <t>5)</t>
  </si>
  <si>
    <t>Enter the Grate Elevation</t>
  </si>
  <si>
    <t>6)</t>
  </si>
  <si>
    <t>Enter the clogging factor.  KYTC Policy is to use 50% (DR 704-8, Eq. 704-15)</t>
  </si>
  <si>
    <t xml:space="preserve">The spreadsheet will evaluate both weir (perimeter) and orifice (area) depth for the given flows, and will use the higher of the two as control.  That depth will then be added to the </t>
  </si>
  <si>
    <t>The higher of the two elevations will then be reported as the headwater elevation at this inlet.</t>
  </si>
  <si>
    <t>In order to determine the head on a particular inlet for a particular flow, when the inlet is in a sump condition.</t>
  </si>
  <si>
    <t xml:space="preserve"> and Depth Report</t>
  </si>
  <si>
    <t>If using a non-KYTC grate, please specify the length and width of the inlet opening (in ft), grate bar width (in inches) for the longitudinal and transverse bars, as well as the number of bars in each direction.</t>
  </si>
  <si>
    <t>grate elevation to report the headwater elevation for the given flow on that inlet.</t>
  </si>
  <si>
    <t>Please note that the elevation of hydraulic grade line (HGL) for the equivalent return interval at this inlet must be compared to the HW elevation reported by this spreadsheet.</t>
  </si>
  <si>
    <r>
      <t>(2) Weir flow calculation = Q = C</t>
    </r>
    <r>
      <rPr>
        <vertAlign val="subscript"/>
        <sz val="8"/>
        <rFont val="Arial"/>
        <family val="2"/>
      </rPr>
      <t xml:space="preserve">w </t>
    </r>
    <r>
      <rPr>
        <sz val="8"/>
        <rFont val="Arial"/>
        <family val="2"/>
      </rPr>
      <t>P d</t>
    </r>
    <r>
      <rPr>
        <vertAlign val="superscript"/>
        <sz val="8"/>
        <rFont val="Arial"/>
        <family val="2"/>
      </rPr>
      <t>1.5</t>
    </r>
    <r>
      <rPr>
        <sz val="8"/>
        <rFont val="Arial"/>
        <family val="2"/>
      </rPr>
      <t>, where C</t>
    </r>
    <r>
      <rPr>
        <vertAlign val="subscript"/>
        <sz val="8"/>
        <rFont val="Arial"/>
        <family val="2"/>
      </rPr>
      <t>w</t>
    </r>
    <r>
      <rPr>
        <sz val="8"/>
        <rFont val="Arial"/>
        <family val="2"/>
      </rPr>
      <t xml:space="preserve"> = 1.66, P = Clear perimeter of the grate in ft, and d is the average depth across the grate (HEC 22 Eq. 4-26)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</si>
</sst>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3" x14ac:knownFonts="1">
    <font>
      <sz val="10"/>
      <name val="Arial"/>
    </font>
    <font>
      <b/>
      <sz val="10"/>
      <name val="Arial"/>
      <family val="2"/>
    </font>
    <font>
      <sz val="10"/>
      <color indexed="10"/>
      <name val="Arial"/>
      <family val="2"/>
    </font>
    <font>
      <b/>
      <sz val="10"/>
      <color indexed="10"/>
      <name val="Arial"/>
      <family val="2"/>
    </font>
    <font>
      <sz val="10"/>
      <color indexed="10"/>
      <name val="Arial"/>
      <family val="2"/>
    </font>
    <font>
      <b/>
      <sz val="8"/>
      <color indexed="81"/>
      <name val="Tahoma"/>
      <family val="2"/>
    </font>
    <font>
      <i/>
      <sz val="10"/>
      <name val="Arial"/>
      <family val="2"/>
    </font>
    <font>
      <sz val="10"/>
      <name val="Arial"/>
      <family val="2"/>
    </font>
    <font>
      <vertAlign val="superscript"/>
      <sz val="10"/>
      <name val="Arial"/>
      <family val="2"/>
    </font>
    <font>
      <b/>
      <vertAlign val="superscript"/>
      <sz val="10"/>
      <name val="Arial"/>
      <family val="2"/>
    </font>
    <font>
      <sz val="8"/>
      <name val="Arial"/>
      <family val="2"/>
    </font>
    <font>
      <vertAlign val="subscript"/>
      <sz val="8"/>
      <name val="Arial"/>
      <family val="2"/>
    </font>
    <font>
      <vertAlign val="superscript"/>
      <sz val="8"/>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1" fillId="0" borderId="0" xfId="0" applyFont="1"/>
    <xf numFmtId="165" fontId="0" fillId="0" borderId="0" xfId="0" applyNumberFormat="1"/>
    <xf numFmtId="165" fontId="1" fillId="0" borderId="0" xfId="0" applyNumberFormat="1" applyFont="1"/>
    <xf numFmtId="165" fontId="1" fillId="0" borderId="0" xfId="0" applyNumberFormat="1" applyFont="1" applyAlignment="1">
      <alignment horizontal="center"/>
    </xf>
    <xf numFmtId="165" fontId="0" fillId="0" borderId="0" xfId="0" applyNumberFormat="1" applyAlignment="1">
      <alignment horizontal="left"/>
    </xf>
    <xf numFmtId="2" fontId="2" fillId="2" borderId="0" xfId="0" applyNumberFormat="1" applyFont="1" applyFill="1" applyAlignment="1">
      <alignment horizontal="center"/>
    </xf>
    <xf numFmtId="0" fontId="2" fillId="2" borderId="0" xfId="0" applyFont="1" applyFill="1" applyAlignment="1">
      <alignment horizontal="center"/>
    </xf>
    <xf numFmtId="0" fontId="1" fillId="0" borderId="1" xfId="0" applyFont="1" applyBorder="1"/>
    <xf numFmtId="2" fontId="0" fillId="0" borderId="2" xfId="0" applyNumberFormat="1" applyBorder="1" applyAlignment="1">
      <alignment horizontal="center"/>
    </xf>
    <xf numFmtId="2" fontId="0" fillId="0" borderId="3" xfId="0" applyNumberFormat="1" applyBorder="1" applyAlignment="1">
      <alignment horizontal="center"/>
    </xf>
    <xf numFmtId="2" fontId="3" fillId="2" borderId="0" xfId="0" applyNumberFormat="1" applyFont="1" applyFill="1" applyAlignment="1">
      <alignment horizontal="center"/>
    </xf>
    <xf numFmtId="9" fontId="4" fillId="2" borderId="0" xfId="0" applyNumberFormat="1" applyFont="1" applyFill="1" applyAlignment="1">
      <alignment horizontal="center"/>
    </xf>
    <xf numFmtId="164" fontId="0" fillId="0" borderId="0" xfId="0" applyNumberFormat="1"/>
    <xf numFmtId="164" fontId="0" fillId="0" borderId="0" xfId="0" applyNumberFormat="1" applyAlignment="1">
      <alignment horizontal="right"/>
    </xf>
    <xf numFmtId="0" fontId="0" fillId="0" borderId="0" xfId="0" applyAlignment="1">
      <alignment horizontal="right"/>
    </xf>
    <xf numFmtId="0" fontId="0" fillId="0" borderId="4" xfId="0" applyBorder="1"/>
    <xf numFmtId="0" fontId="0" fillId="0" borderId="0" xfId="0" quotePrefix="1" applyBorder="1" applyAlignment="1">
      <alignment horizontal="right"/>
    </xf>
    <xf numFmtId="0" fontId="0" fillId="0" borderId="0" xfId="0" applyBorder="1"/>
    <xf numFmtId="0" fontId="6" fillId="0" borderId="0"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applyBorder="1" applyAlignment="1">
      <alignment horizontal="center"/>
    </xf>
    <xf numFmtId="165" fontId="1" fillId="0" borderId="0" xfId="0" applyNumberFormat="1" applyFont="1" applyBorder="1"/>
    <xf numFmtId="165" fontId="1" fillId="0" borderId="0" xfId="0" applyNumberFormat="1" applyFont="1" applyBorder="1" applyAlignment="1">
      <alignment horizontal="center"/>
    </xf>
    <xf numFmtId="0" fontId="0" fillId="0" borderId="8" xfId="0" applyBorder="1" applyAlignment="1">
      <alignment horizontal="left"/>
    </xf>
    <xf numFmtId="0" fontId="0" fillId="0" borderId="10" xfId="0" applyBorder="1"/>
    <xf numFmtId="0" fontId="0" fillId="0" borderId="11" xfId="0" applyBorder="1"/>
    <xf numFmtId="0" fontId="6" fillId="0" borderId="8" xfId="0" applyFont="1" applyBorder="1"/>
    <xf numFmtId="0" fontId="0" fillId="0" borderId="11" xfId="0" quotePrefix="1" applyBorder="1" applyAlignment="1">
      <alignment horizontal="right"/>
    </xf>
    <xf numFmtId="0" fontId="0" fillId="0" borderId="0" xfId="0" applyFill="1" applyBorder="1"/>
    <xf numFmtId="164" fontId="0" fillId="0" borderId="0" xfId="0" applyNumberFormat="1" applyFill="1" applyBorder="1"/>
    <xf numFmtId="2" fontId="0" fillId="0" borderId="0" xfId="0" applyNumberFormat="1" applyAlignment="1">
      <alignment horizontal="center"/>
    </xf>
    <xf numFmtId="0" fontId="2" fillId="2" borderId="0" xfId="0" applyFont="1" applyFill="1" applyAlignment="1">
      <alignment horizontal="left"/>
    </xf>
    <xf numFmtId="0" fontId="7" fillId="0" borderId="0" xfId="0" applyFont="1"/>
    <xf numFmtId="0" fontId="7"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1" fillId="0" borderId="0" xfId="0" applyFont="1" applyAlignment="1" applyProtection="1">
      <alignment horizontal="center"/>
    </xf>
    <xf numFmtId="165" fontId="1" fillId="0" borderId="0" xfId="0" applyNumberFormat="1" applyFont="1" applyProtection="1"/>
    <xf numFmtId="165" fontId="1" fillId="0" borderId="0" xfId="0" applyNumberFormat="1" applyFont="1" applyAlignment="1" applyProtection="1">
      <alignment horizontal="center"/>
    </xf>
    <xf numFmtId="164" fontId="0" fillId="0" borderId="12" xfId="0" applyNumberFormat="1" applyFill="1" applyBorder="1"/>
    <xf numFmtId="164" fontId="0" fillId="0" borderId="13" xfId="0" applyNumberFormat="1" applyFill="1" applyBorder="1"/>
    <xf numFmtId="165" fontId="7" fillId="0" borderId="0" xfId="0" applyNumberFormat="1" applyFont="1"/>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workbookViewId="0">
      <selection activeCell="G24" sqref="G24"/>
    </sheetView>
  </sheetViews>
  <sheetFormatPr defaultRowHeight="12.75" x14ac:dyDescent="0.2"/>
  <sheetData>
    <row r="1" spans="1:12" x14ac:dyDescent="0.2">
      <c r="A1" s="40" t="s">
        <v>58</v>
      </c>
    </row>
    <row r="3" spans="1:12" x14ac:dyDescent="0.2">
      <c r="A3" s="40" t="s">
        <v>74</v>
      </c>
    </row>
    <row r="4" spans="1:12" x14ac:dyDescent="0.2">
      <c r="A4" s="42" t="s">
        <v>59</v>
      </c>
      <c r="B4" s="40" t="s">
        <v>60</v>
      </c>
    </row>
    <row r="5" spans="1:12" x14ac:dyDescent="0.2">
      <c r="A5" s="18"/>
      <c r="B5" s="40" t="s">
        <v>61</v>
      </c>
    </row>
    <row r="6" spans="1:12" x14ac:dyDescent="0.2">
      <c r="A6" s="18"/>
      <c r="B6" s="40" t="s">
        <v>62</v>
      </c>
    </row>
    <row r="7" spans="1:12" x14ac:dyDescent="0.2">
      <c r="A7" s="42" t="s">
        <v>63</v>
      </c>
      <c r="B7" s="40" t="s">
        <v>64</v>
      </c>
    </row>
    <row r="8" spans="1:12" x14ac:dyDescent="0.2">
      <c r="A8" s="42" t="s">
        <v>65</v>
      </c>
      <c r="B8" s="40" t="s">
        <v>66</v>
      </c>
    </row>
    <row r="9" spans="1:12" x14ac:dyDescent="0.2">
      <c r="A9" s="42" t="s">
        <v>67</v>
      </c>
      <c r="B9" s="40" t="s">
        <v>76</v>
      </c>
    </row>
    <row r="10" spans="1:12" x14ac:dyDescent="0.2">
      <c r="A10" s="42" t="s">
        <v>68</v>
      </c>
      <c r="B10" s="40" t="s">
        <v>69</v>
      </c>
    </row>
    <row r="11" spans="1:12" x14ac:dyDescent="0.2">
      <c r="A11" s="42" t="s">
        <v>70</v>
      </c>
      <c r="B11" s="40" t="s">
        <v>71</v>
      </c>
    </row>
    <row r="13" spans="1:12" x14ac:dyDescent="0.2">
      <c r="A13" s="43" t="s">
        <v>72</v>
      </c>
    </row>
    <row r="14" spans="1:12" x14ac:dyDescent="0.2">
      <c r="A14" s="43" t="s">
        <v>77</v>
      </c>
    </row>
    <row r="16" spans="1:12" x14ac:dyDescent="0.2">
      <c r="A16" s="40" t="s">
        <v>78</v>
      </c>
      <c r="B16" s="40"/>
      <c r="C16" s="40"/>
      <c r="D16" s="40"/>
      <c r="E16" s="40"/>
      <c r="F16" s="40"/>
      <c r="G16" s="40"/>
      <c r="H16" s="40"/>
      <c r="I16" s="40"/>
      <c r="J16" s="40"/>
      <c r="K16" s="40"/>
      <c r="L16" s="40"/>
    </row>
    <row r="17" spans="1:1" x14ac:dyDescent="0.2">
      <c r="A17" s="40" t="s">
        <v>73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40"/>
  <sheetViews>
    <sheetView tabSelected="1" zoomScaleNormal="100" workbookViewId="0">
      <selection activeCell="A34" sqref="A34:C36"/>
    </sheetView>
  </sheetViews>
  <sheetFormatPr defaultRowHeight="12.75" x14ac:dyDescent="0.2"/>
  <cols>
    <col min="1" max="1" width="34.7109375" customWidth="1"/>
    <col min="2" max="2" width="14.85546875" customWidth="1"/>
    <col min="3" max="3" width="13.28515625" customWidth="1"/>
    <col min="4" max="4" width="10.7109375" customWidth="1"/>
    <col min="5" max="5" width="12.28515625" customWidth="1"/>
    <col min="6" max="6" width="11.28515625" customWidth="1"/>
    <col min="7" max="7" width="10.140625" customWidth="1"/>
    <col min="10" max="10" width="23.85546875" customWidth="1"/>
    <col min="16" max="16" width="21.85546875" customWidth="1"/>
  </cols>
  <sheetData>
    <row r="3" spans="1:6" x14ac:dyDescent="0.2">
      <c r="B3" s="3" t="s">
        <v>2</v>
      </c>
      <c r="C3" s="3" t="s">
        <v>3</v>
      </c>
      <c r="D3" s="3" t="s">
        <v>4</v>
      </c>
    </row>
    <row r="4" spans="1:6" ht="14.25" x14ac:dyDescent="0.2">
      <c r="A4" s="40" t="s">
        <v>54</v>
      </c>
      <c r="B4" s="14">
        <v>5</v>
      </c>
      <c r="C4" s="14">
        <v>10</v>
      </c>
      <c r="D4" s="14">
        <v>15</v>
      </c>
    </row>
    <row r="5" spans="1:6" x14ac:dyDescent="0.2">
      <c r="B5" s="3"/>
    </row>
    <row r="6" spans="1:6" x14ac:dyDescent="0.2">
      <c r="A6" t="s">
        <v>48</v>
      </c>
      <c r="B6" s="39" t="s">
        <v>14</v>
      </c>
      <c r="D6" s="18"/>
    </row>
    <row r="7" spans="1:6" x14ac:dyDescent="0.2">
      <c r="B7" s="3"/>
    </row>
    <row r="8" spans="1:6" x14ac:dyDescent="0.2">
      <c r="B8" s="3" t="s">
        <v>5</v>
      </c>
      <c r="C8" s="3" t="s">
        <v>43</v>
      </c>
    </row>
    <row r="9" spans="1:6" x14ac:dyDescent="0.2">
      <c r="B9" s="3" t="s">
        <v>52</v>
      </c>
      <c r="C9" s="3" t="s">
        <v>44</v>
      </c>
    </row>
    <row r="10" spans="1:6" x14ac:dyDescent="0.2">
      <c r="A10" t="s">
        <v>49</v>
      </c>
      <c r="B10" s="10">
        <v>18</v>
      </c>
      <c r="C10" s="1">
        <f>B10/2</f>
        <v>9</v>
      </c>
    </row>
    <row r="12" spans="1:6" x14ac:dyDescent="0.2">
      <c r="A12" t="s">
        <v>51</v>
      </c>
      <c r="B12" s="10">
        <v>18</v>
      </c>
      <c r="C12" s="1">
        <f>B12/2</f>
        <v>9</v>
      </c>
    </row>
    <row r="14" spans="1:6" x14ac:dyDescent="0.2">
      <c r="A14" s="2" t="s">
        <v>50</v>
      </c>
    </row>
    <row r="15" spans="1:6" x14ac:dyDescent="0.2">
      <c r="A15" s="3" t="s">
        <v>6</v>
      </c>
      <c r="B15" s="3" t="s">
        <v>5</v>
      </c>
      <c r="C15" s="3" t="s">
        <v>40</v>
      </c>
      <c r="D15" s="4" t="s">
        <v>11</v>
      </c>
      <c r="E15" s="3" t="s">
        <v>42</v>
      </c>
      <c r="F15" s="4" t="s">
        <v>11</v>
      </c>
    </row>
    <row r="16" spans="1:6" x14ac:dyDescent="0.2">
      <c r="A16" s="3" t="s">
        <v>39</v>
      </c>
      <c r="B16" s="3" t="s">
        <v>39</v>
      </c>
      <c r="C16" s="3" t="s">
        <v>41</v>
      </c>
      <c r="D16" s="3"/>
      <c r="E16" s="3" t="s">
        <v>41</v>
      </c>
      <c r="F16" s="4"/>
    </row>
    <row r="17" spans="1:6" x14ac:dyDescent="0.2">
      <c r="A17" s="10">
        <v>3</v>
      </c>
      <c r="B17" s="10">
        <v>2</v>
      </c>
      <c r="C17" s="10">
        <v>2</v>
      </c>
      <c r="D17" s="10">
        <v>4</v>
      </c>
      <c r="E17" s="10">
        <v>2</v>
      </c>
      <c r="F17" s="10">
        <v>4</v>
      </c>
    </row>
    <row r="18" spans="1:6" x14ac:dyDescent="0.2">
      <c r="B18" s="1"/>
    </row>
    <row r="19" spans="1:6" x14ac:dyDescent="0.2">
      <c r="B19" s="1"/>
    </row>
    <row r="20" spans="1:6" x14ac:dyDescent="0.2">
      <c r="A20" t="s">
        <v>7</v>
      </c>
      <c r="B20" s="9">
        <v>0</v>
      </c>
    </row>
    <row r="21" spans="1:6" x14ac:dyDescent="0.2">
      <c r="C21" s="1"/>
    </row>
    <row r="22" spans="1:6" x14ac:dyDescent="0.2">
      <c r="A22" s="4" t="s">
        <v>31</v>
      </c>
      <c r="B22" s="15">
        <v>0.5</v>
      </c>
    </row>
    <row r="23" spans="1:6" x14ac:dyDescent="0.2">
      <c r="C23" t="s">
        <v>75</v>
      </c>
    </row>
    <row r="25" spans="1:6" x14ac:dyDescent="0.2">
      <c r="B25" s="3" t="s">
        <v>2</v>
      </c>
      <c r="C25" s="3" t="s">
        <v>3</v>
      </c>
      <c r="D25" s="3" t="s">
        <v>4</v>
      </c>
    </row>
    <row r="26" spans="1:6" ht="14.25" x14ac:dyDescent="0.2">
      <c r="A26" s="4" t="s">
        <v>53</v>
      </c>
      <c r="B26" s="38">
        <f>(B4/(5.37*Calculations!$E$34))^2</f>
        <v>6.2065915033010143E-2</v>
      </c>
      <c r="C26" s="38">
        <f>(C4/(5.37*Calculations!$E$34))^2</f>
        <v>0.24826366013204057</v>
      </c>
      <c r="D26" s="38">
        <f>(D4/(5.37*Calculations!$E$34))^2</f>
        <v>0.55859323529709126</v>
      </c>
    </row>
    <row r="27" spans="1:6" ht="14.25" x14ac:dyDescent="0.2">
      <c r="A27" s="4" t="s">
        <v>57</v>
      </c>
      <c r="B27" s="38">
        <f>(B4/(3*Calculations!$E$35))^0.6667</f>
        <v>0.44774942456234407</v>
      </c>
      <c r="C27" s="38">
        <f>(C4/(3*Calculations!$E$35))^0.6667</f>
        <v>0.71077432975279309</v>
      </c>
      <c r="D27" s="38">
        <f>(D4/(3*Calculations!$E$35))^0.6667</f>
        <v>0.93139044208792321</v>
      </c>
    </row>
    <row r="28" spans="1:6" ht="13.5" thickBot="1" x14ac:dyDescent="0.25">
      <c r="A28" s="4"/>
    </row>
    <row r="29" spans="1:6" ht="14.25" thickTop="1" thickBot="1" x14ac:dyDescent="0.25">
      <c r="A29" s="11" t="s">
        <v>26</v>
      </c>
      <c r="B29" s="12">
        <f>IF(B26&gt;B27,B26+$B$20,B27+$B$20)</f>
        <v>0.44774942456234407</v>
      </c>
      <c r="C29" s="12">
        <f>IF(C26&gt;C27,C26+$B$20,C27+$B$20)</f>
        <v>0.71077432975279309</v>
      </c>
      <c r="D29" s="13">
        <f>IF(D26&gt;D27,D26+$B$20,D27+$B$20)</f>
        <v>0.93139044208792321</v>
      </c>
    </row>
    <row r="30" spans="1:6" ht="13.5" thickTop="1" x14ac:dyDescent="0.2"/>
    <row r="31" spans="1:6" x14ac:dyDescent="0.2">
      <c r="A31" s="50" t="s">
        <v>55</v>
      </c>
      <c r="B31" s="50"/>
    </row>
    <row r="32" spans="1:6" x14ac:dyDescent="0.2">
      <c r="A32" s="50"/>
      <c r="B32" s="50"/>
    </row>
    <row r="34" spans="1:3" ht="15.75" customHeight="1" x14ac:dyDescent="0.2">
      <c r="A34" s="50" t="s">
        <v>79</v>
      </c>
      <c r="B34" s="50"/>
      <c r="C34" s="50"/>
    </row>
    <row r="35" spans="1:3" x14ac:dyDescent="0.2">
      <c r="A35" s="50"/>
      <c r="B35" s="50"/>
      <c r="C35" s="50"/>
    </row>
    <row r="36" spans="1:3" x14ac:dyDescent="0.2">
      <c r="A36" s="50"/>
      <c r="B36" s="50"/>
      <c r="C36" s="50"/>
    </row>
    <row r="37" spans="1:3" x14ac:dyDescent="0.2">
      <c r="A37" s="41"/>
      <c r="B37" s="41"/>
      <c r="C37" s="41"/>
    </row>
    <row r="38" spans="1:3" ht="12.75" customHeight="1" x14ac:dyDescent="0.2">
      <c r="A38" s="50" t="s">
        <v>56</v>
      </c>
      <c r="B38" s="50"/>
      <c r="C38" s="50"/>
    </row>
    <row r="39" spans="1:3" x14ac:dyDescent="0.2">
      <c r="A39" s="50"/>
      <c r="B39" s="50"/>
      <c r="C39" s="50"/>
    </row>
    <row r="40" spans="1:3" x14ac:dyDescent="0.2">
      <c r="A40" s="50"/>
      <c r="B40" s="50"/>
      <c r="C40" s="50"/>
    </row>
  </sheetData>
  <mergeCells count="3">
    <mergeCell ref="A31:B32"/>
    <mergeCell ref="A34:C36"/>
    <mergeCell ref="A38:C40"/>
  </mergeCells>
  <printOptions horizontalCentered="1"/>
  <pageMargins left="0.7" right="0.7" top="1" bottom="0.75" header="0.3" footer="0.3"/>
  <pageSetup scale="94" orientation="portrait" r:id="rId1"/>
  <headerFooter>
    <oddHeader>&amp;L&amp;8KYTC - Grate HW
for Inlets in Sag
05/01/2023&amp;R&amp;G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Calculations!$A$6:$A$20</xm:f>
          </x14:formula1>
          <xm:sqref>B7</xm:sqref>
        </x14:dataValidation>
        <x14:dataValidation type="list" allowBlank="1" showInputMessage="1" showErrorMessage="1" xr:uid="{00000000-0002-0000-0100-000001000000}">
          <x14:formula1>
            <xm:f>Calculations!$A$6:$A$21</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selection sqref="A1:XFD1"/>
    </sheetView>
  </sheetViews>
  <sheetFormatPr defaultRowHeight="12.75" x14ac:dyDescent="0.2"/>
  <cols>
    <col min="1" max="1" width="32.42578125" bestFit="1" customWidth="1"/>
    <col min="7" max="7" width="21.85546875" customWidth="1"/>
  </cols>
  <sheetData>
    <row r="1" spans="1:14" x14ac:dyDescent="0.2">
      <c r="B1" s="44" t="s">
        <v>27</v>
      </c>
      <c r="C1" s="44" t="s">
        <v>27</v>
      </c>
      <c r="D1" s="45" t="s">
        <v>10</v>
      </c>
      <c r="E1" s="45"/>
    </row>
    <row r="2" spans="1:14" x14ac:dyDescent="0.2">
      <c r="B2" s="44" t="s">
        <v>6</v>
      </c>
      <c r="C2" s="44" t="s">
        <v>5</v>
      </c>
      <c r="D2" s="46"/>
      <c r="E2" s="46"/>
    </row>
    <row r="3" spans="1:14" x14ac:dyDescent="0.2">
      <c r="A3" s="3" t="s">
        <v>47</v>
      </c>
      <c r="B3" s="3" t="s">
        <v>32</v>
      </c>
      <c r="C3" s="3" t="s">
        <v>32</v>
      </c>
      <c r="D3" s="7" t="s">
        <v>34</v>
      </c>
      <c r="E3" s="7" t="s">
        <v>34</v>
      </c>
    </row>
    <row r="4" spans="1:14" x14ac:dyDescent="0.2">
      <c r="A4" s="3" t="s">
        <v>0</v>
      </c>
      <c r="B4" s="3" t="s">
        <v>33</v>
      </c>
      <c r="C4" s="3" t="s">
        <v>33</v>
      </c>
      <c r="D4" s="7" t="s">
        <v>8</v>
      </c>
      <c r="E4" s="7" t="s">
        <v>9</v>
      </c>
    </row>
    <row r="5" spans="1:14" x14ac:dyDescent="0.2">
      <c r="D5" s="5"/>
      <c r="E5" s="5"/>
    </row>
    <row r="6" spans="1:14" x14ac:dyDescent="0.2">
      <c r="A6" s="1" t="s">
        <v>14</v>
      </c>
      <c r="B6">
        <v>2.2707999999999999</v>
      </c>
      <c r="C6">
        <v>3.2917000000000001</v>
      </c>
      <c r="D6" s="16">
        <f>B6*C6*(1-'Data Input-HW on Grate Report'!$B$22)</f>
        <v>3.7373961800000002</v>
      </c>
      <c r="E6" s="16">
        <f>(B6+B6+C6+C6)*(1-'Data Input-HW on Grate Report'!$B$22)</f>
        <v>5.5625</v>
      </c>
    </row>
    <row r="7" spans="1:14" x14ac:dyDescent="0.2">
      <c r="A7" s="1" t="s">
        <v>15</v>
      </c>
      <c r="B7">
        <v>2.2707999999999999</v>
      </c>
      <c r="C7">
        <v>4.2916999999999996</v>
      </c>
      <c r="D7" s="16">
        <f>B7*C7*(1-'Data Input-HW on Grate Report'!$B$22)</f>
        <v>4.872796179999999</v>
      </c>
      <c r="E7" s="16">
        <f>(B7+B7+C7+C7)*(1-'Data Input-HW on Grate Report'!$B$22)</f>
        <v>6.5625</v>
      </c>
    </row>
    <row r="8" spans="1:14" x14ac:dyDescent="0.2">
      <c r="A8" s="1" t="s">
        <v>16</v>
      </c>
      <c r="B8">
        <v>2.3125</v>
      </c>
      <c r="C8">
        <v>3.0104000000000002</v>
      </c>
      <c r="D8" s="16">
        <f>B8*C8*(1-'Data Input-HW on Grate Report'!$B$22)</f>
        <v>3.4807750000000004</v>
      </c>
      <c r="E8" s="16">
        <f>(B8+B8+C8+C8)*(1-'Data Input-HW on Grate Report'!$B$22)</f>
        <v>5.3229000000000006</v>
      </c>
    </row>
    <row r="9" spans="1:14" x14ac:dyDescent="0.2">
      <c r="A9" s="1" t="s">
        <v>17</v>
      </c>
      <c r="B9">
        <v>2.3125</v>
      </c>
      <c r="C9">
        <v>3.9062999999999999</v>
      </c>
      <c r="D9" s="16">
        <f>B9*C9*(1-'Data Input-HW on Grate Report'!$B$22)</f>
        <v>4.5166593749999997</v>
      </c>
      <c r="E9" s="16">
        <f>(B9+B9+C9+C9)*(1-'Data Input-HW on Grate Report'!$B$22)</f>
        <v>6.2187999999999999</v>
      </c>
      <c r="G9" s="23"/>
      <c r="H9" s="24"/>
      <c r="I9" s="24"/>
      <c r="J9" s="24"/>
      <c r="K9" s="24"/>
      <c r="L9" s="24"/>
      <c r="M9" s="24"/>
      <c r="N9" s="25"/>
    </row>
    <row r="10" spans="1:14" x14ac:dyDescent="0.2">
      <c r="A10" s="1" t="s">
        <v>18</v>
      </c>
      <c r="B10">
        <v>2.9582999999999999</v>
      </c>
      <c r="C10">
        <v>3.2917000000000001</v>
      </c>
      <c r="D10" s="16">
        <f>B10*C10*(1-'Data Input-HW on Grate Report'!$B$22)</f>
        <v>4.868918055</v>
      </c>
      <c r="E10" s="16">
        <f>(B10+B10+C10+C10)*(1-'Data Input-HW on Grate Report'!$B$22)</f>
        <v>6.25</v>
      </c>
      <c r="G10" s="34" t="s">
        <v>45</v>
      </c>
      <c r="H10" s="21"/>
      <c r="I10" s="21"/>
      <c r="J10" s="21"/>
      <c r="K10" s="21"/>
      <c r="L10" s="21"/>
      <c r="M10" s="21"/>
      <c r="N10" s="27"/>
    </row>
    <row r="11" spans="1:14" x14ac:dyDescent="0.2">
      <c r="A11" s="1" t="s">
        <v>19</v>
      </c>
      <c r="B11">
        <v>3.1457999999999999</v>
      </c>
      <c r="C11">
        <v>3.0104000000000002</v>
      </c>
      <c r="D11" s="16">
        <f>B11*C11*(1-'Data Input-HW on Grate Report'!$B$22)</f>
        <v>4.7350581600000003</v>
      </c>
      <c r="E11" s="16">
        <f>(B11+B11+C11+C11)*(1-'Data Input-HW on Grate Report'!$B$22)</f>
        <v>6.1562000000000001</v>
      </c>
      <c r="G11" s="34" t="s">
        <v>46</v>
      </c>
      <c r="H11" s="21"/>
      <c r="I11" s="21"/>
      <c r="J11" s="21"/>
      <c r="K11" s="21"/>
      <c r="L11" s="21"/>
      <c r="M11" s="21"/>
      <c r="N11" s="27"/>
    </row>
    <row r="12" spans="1:14" x14ac:dyDescent="0.2">
      <c r="A12" s="1" t="s">
        <v>20</v>
      </c>
      <c r="B12">
        <v>2.3125</v>
      </c>
      <c r="C12">
        <v>3.0104000000000002</v>
      </c>
      <c r="D12" s="16">
        <f>B12*C12*(1-'Data Input-HW on Grate Report'!$B$22)</f>
        <v>3.4807750000000004</v>
      </c>
      <c r="E12" s="16">
        <f>(B12+B12+C12+C12)*(1-'Data Input-HW on Grate Report'!$B$22)</f>
        <v>5.3229000000000006</v>
      </c>
      <c r="G12" s="26"/>
      <c r="H12" s="28" t="s">
        <v>27</v>
      </c>
      <c r="I12" s="28" t="s">
        <v>27</v>
      </c>
      <c r="J12" s="29" t="s">
        <v>10</v>
      </c>
      <c r="K12" s="29"/>
      <c r="L12" s="21"/>
      <c r="M12" s="21"/>
      <c r="N12" s="27"/>
    </row>
    <row r="13" spans="1:14" x14ac:dyDescent="0.2">
      <c r="A13" s="1" t="s">
        <v>21</v>
      </c>
      <c r="B13">
        <v>0.72919999999999996</v>
      </c>
      <c r="C13">
        <v>2</v>
      </c>
      <c r="D13" s="16">
        <f>B13*C13*(1-'Data Input-HW on Grate Report'!$B$22)</f>
        <v>0.72919999999999996</v>
      </c>
      <c r="E13" s="16">
        <f>(B13+B13+C13+C13)*(1-'Data Input-HW on Grate Report'!$B$22)</f>
        <v>2.7292000000000001</v>
      </c>
      <c r="G13" s="26"/>
      <c r="H13" s="28" t="s">
        <v>6</v>
      </c>
      <c r="I13" s="28" t="s">
        <v>5</v>
      </c>
      <c r="J13" s="30"/>
      <c r="K13" s="30"/>
      <c r="L13" s="21"/>
      <c r="M13" s="21"/>
      <c r="N13" s="27"/>
    </row>
    <row r="14" spans="1:14" x14ac:dyDescent="0.2">
      <c r="A14" s="1" t="s">
        <v>35</v>
      </c>
      <c r="B14">
        <v>1.125</v>
      </c>
      <c r="C14">
        <v>2.0832999999999999</v>
      </c>
      <c r="D14" s="16">
        <f>B14*C14*(1-'Data Input-HW on Grate Report'!$B$22)</f>
        <v>1.17185625</v>
      </c>
      <c r="E14" s="16">
        <f>(B14+B14+C14+C14)*(1-'Data Input-HW on Grate Report'!$B$22)</f>
        <v>3.2082999999999995</v>
      </c>
      <c r="G14" s="26"/>
      <c r="H14" s="28" t="s">
        <v>32</v>
      </c>
      <c r="I14" s="28" t="s">
        <v>32</v>
      </c>
      <c r="J14" s="30" t="s">
        <v>34</v>
      </c>
      <c r="K14" s="30" t="s">
        <v>34</v>
      </c>
      <c r="L14" s="21"/>
      <c r="M14" s="21"/>
      <c r="N14" s="27"/>
    </row>
    <row r="15" spans="1:14" x14ac:dyDescent="0.2">
      <c r="A15" s="1" t="s">
        <v>22</v>
      </c>
      <c r="B15">
        <v>1.125</v>
      </c>
      <c r="C15">
        <v>2.0832999999999999</v>
      </c>
      <c r="D15" s="16">
        <f>B15*C15*(1-'Data Input-HW on Grate Report'!$B$22)</f>
        <v>1.17185625</v>
      </c>
      <c r="E15" s="16">
        <f>C15+(2*B15)*(1-'Data Input-HW on Grate Report'!$B$22)</f>
        <v>3.2082999999999999</v>
      </c>
      <c r="G15" s="26"/>
      <c r="H15" s="28" t="s">
        <v>33</v>
      </c>
      <c r="I15" s="28" t="s">
        <v>33</v>
      </c>
      <c r="J15" s="30" t="s">
        <v>8</v>
      </c>
      <c r="K15" s="30" t="s">
        <v>9</v>
      </c>
      <c r="L15" s="30" t="s">
        <v>37</v>
      </c>
      <c r="M15" s="21"/>
      <c r="N15" s="27"/>
    </row>
    <row r="16" spans="1:14" x14ac:dyDescent="0.2">
      <c r="A16" s="1" t="s">
        <v>24</v>
      </c>
      <c r="B16" s="5">
        <f t="shared" ref="B16:E17" si="0">B25</f>
        <v>0.91666666666666663</v>
      </c>
      <c r="C16" s="5">
        <f t="shared" si="0"/>
        <v>0.91666666666666663</v>
      </c>
      <c r="D16" s="5">
        <f t="shared" si="0"/>
        <v>3.7812499999999996</v>
      </c>
      <c r="E16" s="5">
        <f t="shared" si="0"/>
        <v>9.1666666666666661</v>
      </c>
      <c r="G16" s="26"/>
      <c r="H16" s="21"/>
      <c r="I16" s="21"/>
      <c r="J16" s="21"/>
      <c r="K16" s="21"/>
      <c r="L16" s="21"/>
      <c r="M16" s="21"/>
      <c r="N16" s="27"/>
    </row>
    <row r="17" spans="1:14" x14ac:dyDescent="0.2">
      <c r="A17" s="1" t="s">
        <v>25</v>
      </c>
      <c r="B17" s="5">
        <f t="shared" si="0"/>
        <v>0.91666666666666663</v>
      </c>
      <c r="C17" s="5">
        <f t="shared" si="0"/>
        <v>0.91666666666666663</v>
      </c>
      <c r="D17" s="5">
        <f t="shared" si="0"/>
        <v>3.7812499999999996</v>
      </c>
      <c r="E17" s="5">
        <f t="shared" si="0"/>
        <v>9.1666666666666661</v>
      </c>
      <c r="F17" s="18"/>
      <c r="G17" s="31" t="s">
        <v>28</v>
      </c>
      <c r="H17" s="36">
        <v>1.2290000000000001</v>
      </c>
      <c r="I17" s="36">
        <v>4.3760000000000003</v>
      </c>
      <c r="J17" s="37">
        <f>H17*I17*(1-'Data Input-HW on Grate Report'!$B$22)</f>
        <v>2.6890520000000002</v>
      </c>
      <c r="K17" s="37">
        <f>(2*H17)*(1-'Data Input-HW on Grate Report'!$B$22)+I17</f>
        <v>5.6050000000000004</v>
      </c>
      <c r="L17" s="22"/>
      <c r="M17" s="21"/>
      <c r="N17" s="27"/>
    </row>
    <row r="18" spans="1:14" x14ac:dyDescent="0.2">
      <c r="A18" s="1" t="s">
        <v>36</v>
      </c>
      <c r="D18" s="47">
        <f>MIN(J17:J18)</f>
        <v>2.6890520000000002</v>
      </c>
      <c r="E18" s="48">
        <f>MIN(K17:K18)</f>
        <v>5.3639999999999999</v>
      </c>
      <c r="F18" s="35"/>
      <c r="G18" s="31" t="s">
        <v>29</v>
      </c>
      <c r="H18" s="36">
        <v>1.3440000000000001</v>
      </c>
      <c r="I18" s="36">
        <v>4.0199999999999996</v>
      </c>
      <c r="J18" s="37">
        <f>H18*I18*(1-'Data Input-HW on Grate Report'!$B$22)</f>
        <v>2.7014399999999998</v>
      </c>
      <c r="K18" s="37">
        <f>(2*H18)*(1-'Data Input-HW on Grate Report'!$B$22)+I18</f>
        <v>5.3639999999999999</v>
      </c>
      <c r="L18" s="22"/>
      <c r="M18" s="21"/>
      <c r="N18" s="27"/>
    </row>
    <row r="19" spans="1:14" x14ac:dyDescent="0.2">
      <c r="A19" s="1" t="s">
        <v>23</v>
      </c>
      <c r="D19" s="16">
        <f>(140/144)*(1-'Data Input-HW on Grate Report'!$B$22)</f>
        <v>0.4861111111111111</v>
      </c>
      <c r="E19" s="16">
        <f>2.256*(1-'Data Input-HW on Grate Report'!$B$22)</f>
        <v>1.1279999999999999</v>
      </c>
      <c r="F19" s="20"/>
      <c r="G19" s="32"/>
      <c r="H19" s="19"/>
      <c r="I19" s="19"/>
      <c r="J19" s="19"/>
      <c r="K19" s="19"/>
      <c r="L19" s="19"/>
      <c r="M19" s="19"/>
      <c r="N19" s="33"/>
    </row>
    <row r="20" spans="1:14" x14ac:dyDescent="0.2">
      <c r="A20" s="1" t="s">
        <v>30</v>
      </c>
      <c r="D20" s="16">
        <f>1.333*(1-'Data Input-HW on Grate Report'!$B$22)</f>
        <v>0.66649999999999998</v>
      </c>
      <c r="E20" s="16">
        <f>(2*PI()*SQRT(D20/PI()))*(1-'Data Input-HW on Grate Report'!$B$22)</f>
        <v>1.4470215974952125</v>
      </c>
      <c r="F20" s="18"/>
      <c r="G20" s="21"/>
      <c r="H20" s="21"/>
      <c r="I20" s="21"/>
      <c r="J20" s="21"/>
      <c r="K20" s="21"/>
      <c r="L20" s="21"/>
      <c r="M20" s="21"/>
      <c r="N20" s="21"/>
    </row>
    <row r="21" spans="1:14" x14ac:dyDescent="0.2">
      <c r="A21" s="1" t="s">
        <v>1</v>
      </c>
      <c r="B21" s="5">
        <f>B30</f>
        <v>2.3333333333333335</v>
      </c>
      <c r="C21" s="5">
        <f>C30</f>
        <v>1.3333333333333335</v>
      </c>
      <c r="D21" s="5">
        <f>D30</f>
        <v>1.5555555555555558</v>
      </c>
      <c r="E21" s="5">
        <f>E30</f>
        <v>3.666666666666667</v>
      </c>
    </row>
    <row r="22" spans="1:14" x14ac:dyDescent="0.2">
      <c r="D22" s="16"/>
      <c r="E22" s="16"/>
    </row>
    <row r="23" spans="1:14" x14ac:dyDescent="0.2">
      <c r="C23" s="5"/>
      <c r="D23" s="5"/>
      <c r="E23" s="5"/>
    </row>
    <row r="24" spans="1:14" x14ac:dyDescent="0.2">
      <c r="C24" s="5"/>
      <c r="D24" s="5"/>
      <c r="E24" s="5"/>
    </row>
    <row r="25" spans="1:14" x14ac:dyDescent="0.2">
      <c r="A25" t="s">
        <v>49</v>
      </c>
      <c r="B25" s="5">
        <f>11/12</f>
        <v>0.91666666666666663</v>
      </c>
      <c r="C25" s="5">
        <f>11/12</f>
        <v>0.91666666666666663</v>
      </c>
      <c r="D25" s="5">
        <f>('Data Input-HW on Grate Report'!C10*(B25*C25))*(1-'Data Input-HW on Grate Report'!$B$22)</f>
        <v>3.7812499999999996</v>
      </c>
      <c r="E25" s="49">
        <f>('Data Input-HW on Grate Report'!C10*C25)+(2*B25)*(1-'Data Input-HW on Grate Report'!$B$22)</f>
        <v>9.1666666666666661</v>
      </c>
    </row>
    <row r="26" spans="1:14" x14ac:dyDescent="0.2">
      <c r="A26" t="s">
        <v>51</v>
      </c>
      <c r="B26" s="5">
        <f>11/12</f>
        <v>0.91666666666666663</v>
      </c>
      <c r="C26" s="5">
        <f>11/12</f>
        <v>0.91666666666666663</v>
      </c>
      <c r="D26" s="5">
        <f>('Data Input-HW on Grate Report'!C12*(B26*C26))*(1-'Data Input-HW on Grate Report'!$B$22)</f>
        <v>3.7812499999999996</v>
      </c>
      <c r="E26" s="49">
        <f>((2*C26*'Data Input-HW on Grate Report'!C12)+(2*B26))*(1-'Data Input-HW on Grate Report'!$B$22)</f>
        <v>9.1666666666666661</v>
      </c>
      <c r="F26" s="4" t="s">
        <v>38</v>
      </c>
    </row>
    <row r="27" spans="1:14" x14ac:dyDescent="0.2">
      <c r="D27" s="5"/>
      <c r="E27" s="5"/>
      <c r="F27" s="4"/>
    </row>
    <row r="28" spans="1:14" x14ac:dyDescent="0.2">
      <c r="D28" s="5"/>
      <c r="E28" s="5"/>
      <c r="F28" s="4"/>
    </row>
    <row r="29" spans="1:14" x14ac:dyDescent="0.2">
      <c r="D29" s="5"/>
      <c r="E29" s="5"/>
    </row>
    <row r="30" spans="1:14" x14ac:dyDescent="0.2">
      <c r="A30" s="2" t="s">
        <v>50</v>
      </c>
      <c r="B30" s="5">
        <f>'Data Input-HW on Grate Report'!A17-(('Data Input-HW on Grate Report'!C17/12)*'Data Input-HW on Grate Report'!D17)</f>
        <v>2.3333333333333335</v>
      </c>
      <c r="C30" s="5">
        <f>'Data Input-HW on Grate Report'!B17-(('Data Input-HW on Grate Report'!E17/12)*'Data Input-HW on Grate Report'!F17)</f>
        <v>1.3333333333333335</v>
      </c>
      <c r="D30" s="16">
        <f>B30*C30*(1-'Data Input-HW on Grate Report'!$B$22)</f>
        <v>1.5555555555555558</v>
      </c>
      <c r="E30" s="16">
        <f>(B30+B30+C30+C30)*(1-'Data Input-HW on Grate Report'!$B$22)</f>
        <v>3.666666666666667</v>
      </c>
    </row>
    <row r="31" spans="1:14" x14ac:dyDescent="0.2">
      <c r="D31" s="5"/>
      <c r="E31" s="5"/>
    </row>
    <row r="32" spans="1:14" x14ac:dyDescent="0.2">
      <c r="D32" s="5"/>
      <c r="E32" s="5"/>
    </row>
    <row r="33" spans="4:5" x14ac:dyDescent="0.2">
      <c r="D33" s="6" t="s">
        <v>12</v>
      </c>
      <c r="E33" s="8" t="str">
        <f>'Data Input-HW on Grate Report'!B6</f>
        <v>Type 1</v>
      </c>
    </row>
    <row r="34" spans="4:5" x14ac:dyDescent="0.2">
      <c r="D34" s="6" t="s">
        <v>8</v>
      </c>
      <c r="E34" s="17">
        <f>VLOOKUP(E33,A6:E21,4,FALSE )</f>
        <v>3.7373961800000002</v>
      </c>
    </row>
    <row r="35" spans="4:5" x14ac:dyDescent="0.2">
      <c r="D35" s="6" t="s">
        <v>13</v>
      </c>
      <c r="E35" s="17">
        <f>VLOOKUP(E33,A6:E21,5,FALSE)</f>
        <v>5.5625</v>
      </c>
    </row>
  </sheetData>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16C061F3B0154FB6F10EC5D7D4A349" ma:contentTypeVersion="8" ma:contentTypeDescription="Create a new document." ma:contentTypeScope="" ma:versionID="4d4ff740455b8dc691f9917f58bbe777">
  <xsd:schema xmlns:xsd="http://www.w3.org/2001/XMLSchema" xmlns:xs="http://www.w3.org/2001/XMLSchema" xmlns:p="http://schemas.microsoft.com/office/2006/metadata/properties" xmlns:ns2="36c2605c-b317-4fe8-b586-a5bedc380acf" targetNamespace="http://schemas.microsoft.com/office/2006/metadata/properties" ma:root="true" ma:fieldsID="118093ff042f5c456e8711050328630a" ns2:_="">
    <xsd:import namespace="36c2605c-b317-4fe8-b586-a5bedc380acf"/>
    <xsd:element name="properties">
      <xsd:complexType>
        <xsd:sequence>
          <xsd:element name="documentManagement">
            <xsd:complexType>
              <xsd:all>
                <xsd:element ref="ns2:Effective_x0020_Date" minOccurs="0"/>
                <xsd:element ref="ns2:Document_x0020_Type" minOccurs="0"/>
                <xsd:element ref="ns2:Description0" minOccurs="0"/>
                <xsd:element ref="ns2:Notes0" minOccurs="0"/>
                <xsd:element ref="ns2:Order0" minOccurs="0"/>
                <xsd:element ref="ns2:Ic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c2605c-b317-4fe8-b586-a5bedc380acf" elementFormDefault="qualified">
    <xsd:import namespace="http://schemas.microsoft.com/office/2006/documentManagement/types"/>
    <xsd:import namespace="http://schemas.microsoft.com/office/infopath/2007/PartnerControls"/>
    <xsd:element name="Effective_x0020_Date" ma:index="4" nillable="true" ma:displayName="Effective Date" ma:format="DateOnly" ma:internalName="Effective_x0020_Date" ma:readOnly="false">
      <xsd:simpleType>
        <xsd:restriction base="dms:DateTime"/>
      </xsd:simpleType>
    </xsd:element>
    <xsd:element name="Document_x0020_Type" ma:index="5" nillable="true" ma:displayName="Document Type" ma:default="BLANK" ma:format="Dropdown" ma:internalName="Document_x0020_Type" ma:readOnly="false">
      <xsd:simpleType>
        <xsd:union memberTypes="dms:Text">
          <xsd:simpleType>
            <xsd:restriction base="dms:Choice">
              <xsd:enumeration value="Drainage Manual"/>
              <xsd:enumeration value="OLD Drainage Manual"/>
              <xsd:enumeration value="Memo"/>
              <xsd:enumeration value="Submittal Form"/>
              <xsd:enumeration value="3-sided Culvert Policy"/>
              <xsd:enumeration value="HEC-HDS"/>
              <xsd:enumeration value="Calculation Tool"/>
              <xsd:enumeration value="Excel Spreadsheet"/>
              <xsd:enumeration value="Reference Document"/>
              <xsd:enumeration value="Software Application"/>
              <xsd:enumeration value="KPDES BMP Plan"/>
              <xsd:enumeration value="Drainage Manual 2012"/>
              <xsd:enumeration value="BLANK"/>
            </xsd:restriction>
          </xsd:simpleType>
        </xsd:union>
      </xsd:simpleType>
    </xsd:element>
    <xsd:element name="Description0" ma:index="6" nillable="true" ma:displayName="Description" ma:internalName="Description0" ma:readOnly="false">
      <xsd:simpleType>
        <xsd:restriction base="dms:Text">
          <xsd:maxLength value="255"/>
        </xsd:restriction>
      </xsd:simpleType>
    </xsd:element>
    <xsd:element name="Notes0" ma:index="7" nillable="true" ma:displayName="Notes" ma:internalName="Notes0" ma:readOnly="false">
      <xsd:simpleType>
        <xsd:restriction base="dms:Text">
          <xsd:maxLength value="255"/>
        </xsd:restriction>
      </xsd:simpleType>
    </xsd:element>
    <xsd:element name="Order0" ma:index="8" nillable="true" ma:displayName="Order" ma:internalName="Order0" ma:readOnly="false" ma:percentage="FALSE">
      <xsd:simpleType>
        <xsd:restriction base="dms:Number">
          <xsd:maxInclusive value="100"/>
          <xsd:minInclusive value="1"/>
        </xsd:restriction>
      </xsd:simpleType>
    </xsd:element>
    <xsd:element name="Icon" ma:index="13" nillable="true" ma:displayName="Icon" ma:format="Image" ma:internalName="Ic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36c2605c-b317-4fe8-b586-a5bedc380acf" xsi:nil="true"/>
    <Order0 xmlns="36c2605c-b317-4fe8-b586-a5bedc380acf" xsi:nil="true"/>
    <Description0 xmlns="36c2605c-b317-4fe8-b586-a5bedc380acf" xsi:nil="true"/>
    <Document_x0020_Type xmlns="36c2605c-b317-4fe8-b586-a5bedc380acf">BLANK</Document_x0020_Type>
    <Icon xmlns="36c2605c-b317-4fe8-b586-a5bedc380acf">
      <Url xsi:nil="true"/>
      <Description xsi:nil="true"/>
    </Icon>
    <Effective_x0020_Date xmlns="36c2605c-b317-4fe8-b586-a5bedc380acf" xsi:nil="true"/>
  </documentManagement>
</p:properties>
</file>

<file path=customXml/itemProps1.xml><?xml version="1.0" encoding="utf-8"?>
<ds:datastoreItem xmlns:ds="http://schemas.openxmlformats.org/officeDocument/2006/customXml" ds:itemID="{CDED85DC-2744-4CD9-A978-D3CA0ACDE0B8}"/>
</file>

<file path=customXml/itemProps2.xml><?xml version="1.0" encoding="utf-8"?>
<ds:datastoreItem xmlns:ds="http://schemas.openxmlformats.org/officeDocument/2006/customXml" ds:itemID="{00F548CD-C32F-4350-BEEE-B311E70AE9DC}"/>
</file>

<file path=customXml/itemProps3.xml><?xml version="1.0" encoding="utf-8"?>
<ds:datastoreItem xmlns:ds="http://schemas.openxmlformats.org/officeDocument/2006/customXml" ds:itemID="{4203ADBE-D9DE-4ACD-9EA2-5E651E76E3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Data Input-HW on Grate Report</vt:lpstr>
      <vt:lpstr>Calculations</vt:lpstr>
      <vt:lpstr>'Data Input-HW on Grate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Robinson, Tim S (KYTC)</cp:lastModifiedBy>
  <cp:lastPrinted>2023-05-01T16:18:13Z</cp:lastPrinted>
  <dcterms:created xsi:type="dcterms:W3CDTF">1999-04-02T15:15:35Z</dcterms:created>
  <dcterms:modified xsi:type="dcterms:W3CDTF">2023-05-02T02:58:34Z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0x0101008616C061F3B0154FB6F10EC5D7D4A349</vt:lpwstr>
  </property>
</Properties>
</file>