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15" windowWidth="10590" windowHeight="12360" tabRatio="738" activeTab="0"/>
  </bookViews>
  <sheets>
    <sheet name="LTLaneWarrant" sheetId="1" r:id="rId1"/>
    <sheet name="RTLaneWarrant" sheetId="2" r:id="rId2"/>
    <sheet name="TurnLengthCalcs" sheetId="3" r:id="rId3"/>
  </sheets>
  <definedNames>
    <definedName name="_xlnm.Print_Area" localSheetId="0">'LTLaneWarrant'!$A$1:$G$24</definedName>
    <definedName name="_xlnm.Print_Area" localSheetId="1">'RTLaneWarrant'!$A$1:$G$24</definedName>
    <definedName name="_xlnm.Print_Area" localSheetId="2">'TurnLengthCalcs'!$A$1:$G$28</definedName>
  </definedNames>
  <calcPr fullCalcOnLoad="1"/>
</workbook>
</file>

<file path=xl/sharedStrings.xml><?xml version="1.0" encoding="utf-8"?>
<sst xmlns="http://schemas.openxmlformats.org/spreadsheetml/2006/main" count="81" uniqueCount="55">
  <si>
    <t>m</t>
  </si>
  <si>
    <t>r</t>
  </si>
  <si>
    <t>P</t>
  </si>
  <si>
    <r>
      <t>v</t>
    </r>
    <r>
      <rPr>
        <vertAlign val="subscript"/>
        <sz val="12"/>
        <rFont val="Arial"/>
        <family val="2"/>
      </rPr>
      <t>A</t>
    </r>
  </si>
  <si>
    <r>
      <t>v</t>
    </r>
    <r>
      <rPr>
        <vertAlign val="subscript"/>
        <sz val="12"/>
        <rFont val="Arial"/>
        <family val="2"/>
      </rPr>
      <t>c</t>
    </r>
  </si>
  <si>
    <r>
      <t>t</t>
    </r>
    <r>
      <rPr>
        <vertAlign val="subscript"/>
        <sz val="12"/>
        <rFont val="Arial"/>
        <family val="2"/>
      </rPr>
      <t>w</t>
    </r>
  </si>
  <si>
    <r>
      <t>t</t>
    </r>
    <r>
      <rPr>
        <vertAlign val="subscript"/>
        <sz val="12"/>
        <rFont val="Arial"/>
        <family val="2"/>
      </rPr>
      <t>e</t>
    </r>
  </si>
  <si>
    <r>
      <t>t</t>
    </r>
    <r>
      <rPr>
        <vertAlign val="subscript"/>
        <sz val="12"/>
        <rFont val="Arial"/>
        <family val="2"/>
      </rPr>
      <t>c</t>
    </r>
  </si>
  <si>
    <r>
      <t>t</t>
    </r>
    <r>
      <rPr>
        <vertAlign val="subscript"/>
        <sz val="12"/>
        <rFont val="Arial"/>
        <family val="2"/>
      </rPr>
      <t>f</t>
    </r>
  </si>
  <si>
    <t>Left Turn Volume (vph)</t>
  </si>
  <si>
    <t>Advancing Volume (vph)</t>
  </si>
  <si>
    <t>Opposing Volume (vph)</t>
  </si>
  <si>
    <t>Input Fields</t>
  </si>
  <si>
    <t>Threshld Pt</t>
  </si>
  <si>
    <t>Data Pt</t>
  </si>
  <si>
    <t>Warranted
Calc</t>
  </si>
  <si>
    <r>
      <t>r</t>
    </r>
    <r>
      <rPr>
        <vertAlign val="superscript"/>
        <sz val="20"/>
        <rFont val="Symbol"/>
        <family val="1"/>
      </rPr>
      <t>3</t>
    </r>
  </si>
  <si>
    <t>Storage</t>
  </si>
  <si>
    <t>Speed Limit (mph)</t>
  </si>
  <si>
    <r>
      <t>v</t>
    </r>
    <r>
      <rPr>
        <vertAlign val="subscript"/>
        <sz val="20"/>
        <rFont val="Arial"/>
        <family val="2"/>
      </rPr>
      <t>c</t>
    </r>
  </si>
  <si>
    <t>vL</t>
  </si>
  <si>
    <t>Storage 
Calc</t>
  </si>
  <si>
    <t xml:space="preserve">Left Turn Lane Warrants </t>
  </si>
  <si>
    <t>Right Turn Volume (vph)</t>
  </si>
  <si>
    <t xml:space="preserve">Right Turn Lane Warrants </t>
  </si>
  <si>
    <t>Turn Volume</t>
  </si>
  <si>
    <t>(Enter 0 for Uncontrolled, 60 for Stop Controlled)</t>
  </si>
  <si>
    <t>Cycle Length</t>
  </si>
  <si>
    <t>Speed Limit</t>
  </si>
  <si>
    <t>Turn Lane Length</t>
  </si>
  <si>
    <t>Is this a Rural Arterial (Y or N)</t>
  </si>
  <si>
    <t>Decel M1</t>
  </si>
  <si>
    <t>Decel M2</t>
  </si>
  <si>
    <t>M2</t>
  </si>
  <si>
    <t>Decel M3</t>
  </si>
  <si>
    <t>M1</t>
  </si>
  <si>
    <t>M3</t>
  </si>
  <si>
    <t>Speed (MPH)</t>
  </si>
  <si>
    <t xml:space="preserve">Method 1:  </t>
  </si>
  <si>
    <t>Method 2:</t>
  </si>
  <si>
    <t>Method 3:</t>
  </si>
  <si>
    <t xml:space="preserve">Storage </t>
  </si>
  <si>
    <t xml:space="preserve">Desirable </t>
  </si>
  <si>
    <t xml:space="preserve">Minimum </t>
  </si>
  <si>
    <t>Minimum</t>
  </si>
  <si>
    <t>Desirable</t>
  </si>
  <si>
    <t>Calculated Turn Lane Length (ft)</t>
  </si>
  <si>
    <r>
      <t xml:space="preserve">Percent Heavy 
Vehicles 
</t>
    </r>
    <r>
      <rPr>
        <sz val="8"/>
        <rFont val="Arial"/>
        <family val="2"/>
      </rPr>
      <t>(decimal percent)</t>
    </r>
  </si>
  <si>
    <t xml:space="preserve">No. of through lanes  </t>
  </si>
  <si>
    <r>
      <t>E</t>
    </r>
    <r>
      <rPr>
        <vertAlign val="subscript"/>
        <sz val="12"/>
        <rFont val="Arial"/>
        <family val="2"/>
      </rPr>
      <t>HV</t>
    </r>
  </si>
  <si>
    <t>N</t>
  </si>
  <si>
    <t>Grade Adjustment</t>
  </si>
  <si>
    <r>
      <t>L</t>
    </r>
    <r>
      <rPr>
        <vertAlign val="subscript"/>
        <sz val="11"/>
        <rFont val="Arial"/>
        <family val="2"/>
      </rPr>
      <t>D</t>
    </r>
    <r>
      <rPr>
        <sz val="11"/>
        <rFont val="Arial"/>
        <family val="2"/>
      </rPr>
      <t xml:space="preserve"> [-0.046*(G)+0.822]</t>
    </r>
  </si>
  <si>
    <t>Approach Percent Grade (G)</t>
  </si>
  <si>
    <t xml:space="preserve">Note: This spreadsheet is intended to supplement the guidance provided in the Auxiliary Turn Lane policy outlined in the KYTC Highway Design Manual.  This policy should be fully reviewed and understood prior to using this application. </t>
  </si>
</sst>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0.0000"/>
    <numFmt numFmtId="167" formatCode="&quot;$&quot;#,##0"/>
    <numFmt numFmtId="168" formatCode="0.00000"/>
    <numFmt numFmtId="169" formatCode="0.000000000000000"/>
    <numFmt numFmtId="170" formatCode="0.00000000000000"/>
    <numFmt numFmtId="171" formatCode="0.0000000000000"/>
    <numFmt numFmtId="172" formatCode="0.000000000000"/>
    <numFmt numFmtId="173" formatCode="0.00000000000"/>
    <numFmt numFmtId="174" formatCode="0.0000000000"/>
    <numFmt numFmtId="175" formatCode="0.000000000"/>
    <numFmt numFmtId="176" formatCode="0.00000000"/>
    <numFmt numFmtId="177" formatCode="0.0000000"/>
    <numFmt numFmtId="178" formatCode="0.000000"/>
    <numFmt numFmtId="179" formatCode="0.0000000000000000"/>
    <numFmt numFmtId="180" formatCode="0.00000000000000000"/>
    <numFmt numFmtId="181" formatCode="0.000000000000000000"/>
    <numFmt numFmtId="182" formatCode="0.000000000000000000E+00"/>
    <numFmt numFmtId="183" formatCode="0.E+00"/>
    <numFmt numFmtId="184" formatCode="&quot;Yes&quot;;&quot;Yes&quot;;&quot;No&quot;"/>
    <numFmt numFmtId="185" formatCode="&quot;True&quot;;&quot;True&quot;;&quot;False&quot;"/>
    <numFmt numFmtId="186" formatCode="&quot;On&quot;;&quot;On&quot;;&quot;Off&quot;"/>
    <numFmt numFmtId="187" formatCode="[$€-2]\ #,##0.00_);[Red]\([$€-2]\ #,##0.00\)"/>
  </numFmts>
  <fonts count="21">
    <font>
      <sz val="10"/>
      <name val="Arial"/>
      <family val="0"/>
    </font>
    <font>
      <sz val="20"/>
      <name val="Symbol"/>
      <family val="1"/>
    </font>
    <font>
      <sz val="20"/>
      <name val="Arial"/>
      <family val="0"/>
    </font>
    <font>
      <sz val="8"/>
      <name val="Arial"/>
      <family val="0"/>
    </font>
    <font>
      <u val="single"/>
      <sz val="10"/>
      <color indexed="12"/>
      <name val="Arial"/>
      <family val="0"/>
    </font>
    <font>
      <u val="single"/>
      <sz val="10"/>
      <color indexed="36"/>
      <name val="Arial"/>
      <family val="0"/>
    </font>
    <font>
      <vertAlign val="subscript"/>
      <sz val="12"/>
      <name val="Arial"/>
      <family val="2"/>
    </font>
    <font>
      <b/>
      <sz val="8"/>
      <name val="Arial"/>
      <family val="0"/>
    </font>
    <font>
      <sz val="12"/>
      <name val="Symbol"/>
      <family val="1"/>
    </font>
    <font>
      <b/>
      <sz val="14"/>
      <name val="Arial"/>
      <family val="2"/>
    </font>
    <font>
      <sz val="12"/>
      <name val="Arial"/>
      <family val="0"/>
    </font>
    <font>
      <vertAlign val="superscript"/>
      <sz val="20"/>
      <name val="Symbol"/>
      <family val="1"/>
    </font>
    <font>
      <u val="single"/>
      <sz val="10"/>
      <name val="Arial"/>
      <family val="2"/>
    </font>
    <font>
      <vertAlign val="subscript"/>
      <sz val="20"/>
      <name val="Arial"/>
      <family val="2"/>
    </font>
    <font>
      <sz val="5.75"/>
      <name val="Arial"/>
      <family val="2"/>
    </font>
    <font>
      <sz val="9.5"/>
      <name val="Arial"/>
      <family val="2"/>
    </font>
    <font>
      <i/>
      <sz val="8"/>
      <name val="Arial"/>
      <family val="2"/>
    </font>
    <font>
      <b/>
      <sz val="10"/>
      <name val="Arial"/>
      <family val="2"/>
    </font>
    <font>
      <sz val="6"/>
      <name val="Arial"/>
      <family val="2"/>
    </font>
    <font>
      <sz val="11"/>
      <name val="Arial"/>
      <family val="2"/>
    </font>
    <font>
      <vertAlign val="subscript"/>
      <sz val="11"/>
      <name val="Arial"/>
      <family val="2"/>
    </font>
  </fonts>
  <fills count="5">
    <fill>
      <patternFill/>
    </fill>
    <fill>
      <patternFill patternType="gray125"/>
    </fill>
    <fill>
      <patternFill patternType="solid">
        <fgColor indexed="9"/>
        <bgColor indexed="64"/>
      </patternFill>
    </fill>
    <fill>
      <patternFill patternType="solid">
        <fgColor indexed="22"/>
        <bgColor indexed="64"/>
      </patternFill>
    </fill>
    <fill>
      <patternFill patternType="solid">
        <fgColor indexed="43"/>
        <bgColor indexed="64"/>
      </patternFill>
    </fill>
  </fills>
  <borders count="12">
    <border>
      <left/>
      <right/>
      <top/>
      <bottom/>
      <diagonal/>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color indexed="63"/>
      </bottom>
    </border>
    <border>
      <left>
        <color indexed="63"/>
      </left>
      <right>
        <color indexed="63"/>
      </right>
      <top style="medium"/>
      <bottom>
        <color indexed="63"/>
      </bottom>
    </border>
    <border>
      <left style="thin"/>
      <right style="thin"/>
      <top style="thin"/>
      <bottom style="thin"/>
    </border>
    <border>
      <left style="medium"/>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84">
    <xf numFmtId="0" fontId="0" fillId="0" borderId="0" xfId="0" applyAlignment="1">
      <alignment/>
    </xf>
    <xf numFmtId="0" fontId="2" fillId="0" borderId="0" xfId="0" applyFont="1" applyAlignment="1">
      <alignment/>
    </xf>
    <xf numFmtId="0" fontId="2" fillId="0" borderId="0" xfId="0" applyFont="1" applyFill="1" applyAlignment="1">
      <alignment/>
    </xf>
    <xf numFmtId="0" fontId="2" fillId="0" borderId="0" xfId="0" applyFont="1" applyFill="1" applyBorder="1" applyAlignment="1">
      <alignment/>
    </xf>
    <xf numFmtId="0" fontId="2" fillId="0" borderId="0" xfId="0" applyFont="1" applyBorder="1" applyAlignment="1">
      <alignment/>
    </xf>
    <xf numFmtId="0" fontId="10" fillId="0" borderId="0" xfId="0" applyFont="1" applyAlignment="1">
      <alignment/>
    </xf>
    <xf numFmtId="0" fontId="10" fillId="0" borderId="0" xfId="0" applyFont="1" applyFill="1" applyAlignment="1">
      <alignment horizontal="right"/>
    </xf>
    <xf numFmtId="2" fontId="10" fillId="0" borderId="0" xfId="0" applyNumberFormat="1" applyFont="1" applyAlignment="1">
      <alignment/>
    </xf>
    <xf numFmtId="0" fontId="8" fillId="0" borderId="0" xfId="0" applyFont="1" applyFill="1" applyAlignment="1">
      <alignment horizontal="right"/>
    </xf>
    <xf numFmtId="166" fontId="10" fillId="0" borderId="0" xfId="0" applyNumberFormat="1" applyFont="1" applyAlignment="1">
      <alignment/>
    </xf>
    <xf numFmtId="0" fontId="8" fillId="0" borderId="0" xfId="0" applyFont="1" applyAlignment="1">
      <alignment/>
    </xf>
    <xf numFmtId="0" fontId="10" fillId="0" borderId="0" xfId="0" applyFont="1" applyAlignment="1">
      <alignment horizontal="right"/>
    </xf>
    <xf numFmtId="0" fontId="10" fillId="0" borderId="0" xfId="0" applyFont="1" applyFill="1" applyBorder="1" applyAlignment="1">
      <alignment/>
    </xf>
    <xf numFmtId="1" fontId="10" fillId="0" borderId="0" xfId="0" applyNumberFormat="1" applyFont="1" applyFill="1" applyBorder="1" applyAlignment="1">
      <alignment/>
    </xf>
    <xf numFmtId="0" fontId="10" fillId="0" borderId="0" xfId="0" applyFont="1" applyFill="1" applyBorder="1" applyAlignment="1">
      <alignment horizontal="right"/>
    </xf>
    <xf numFmtId="0" fontId="10" fillId="0" borderId="0" xfId="0" applyFont="1" applyFill="1" applyAlignment="1">
      <alignment/>
    </xf>
    <xf numFmtId="164" fontId="10" fillId="0" borderId="0" xfId="0" applyNumberFormat="1" applyFont="1" applyFill="1" applyAlignment="1">
      <alignment/>
    </xf>
    <xf numFmtId="0" fontId="9" fillId="0" borderId="0" xfId="0" applyFont="1" applyFill="1" applyBorder="1" applyAlignment="1">
      <alignment horizontal="center"/>
    </xf>
    <xf numFmtId="0" fontId="9" fillId="0" borderId="1" xfId="0" applyFont="1" applyFill="1" applyBorder="1" applyAlignment="1">
      <alignment horizontal="center"/>
    </xf>
    <xf numFmtId="0" fontId="2" fillId="0" borderId="1" xfId="0" applyFont="1" applyBorder="1" applyAlignment="1">
      <alignment/>
    </xf>
    <xf numFmtId="0" fontId="2" fillId="0" borderId="2" xfId="0" applyFont="1" applyBorder="1" applyAlignment="1">
      <alignment/>
    </xf>
    <xf numFmtId="0" fontId="1" fillId="0" borderId="2" xfId="0" applyFont="1" applyBorder="1" applyAlignment="1">
      <alignment/>
    </xf>
    <xf numFmtId="0" fontId="2" fillId="0" borderId="3" xfId="0" applyFont="1" applyBorder="1" applyAlignment="1">
      <alignment/>
    </xf>
    <xf numFmtId="0" fontId="2" fillId="0" borderId="4" xfId="0" applyFont="1" applyBorder="1" applyAlignment="1">
      <alignment/>
    </xf>
    <xf numFmtId="0" fontId="2" fillId="0" borderId="4" xfId="0" applyFont="1" applyFill="1" applyBorder="1" applyAlignment="1">
      <alignment/>
    </xf>
    <xf numFmtId="0" fontId="2" fillId="0" borderId="5" xfId="0" applyFont="1" applyBorder="1" applyAlignment="1">
      <alignment/>
    </xf>
    <xf numFmtId="0" fontId="10" fillId="0" borderId="0" xfId="0" applyFont="1" applyAlignment="1">
      <alignment vertical="center" wrapText="1"/>
    </xf>
    <xf numFmtId="0" fontId="2" fillId="0" borderId="0" xfId="0" applyFont="1" applyFill="1" applyAlignment="1">
      <alignment horizontal="right"/>
    </xf>
    <xf numFmtId="2" fontId="2" fillId="0" borderId="0" xfId="0" applyNumberFormat="1" applyFont="1" applyFill="1" applyAlignment="1">
      <alignment/>
    </xf>
    <xf numFmtId="165" fontId="2" fillId="0" borderId="0" xfId="0" applyNumberFormat="1" applyFont="1" applyFill="1" applyAlignment="1">
      <alignment/>
    </xf>
    <xf numFmtId="0" fontId="1" fillId="0" borderId="0" xfId="0" applyFont="1" applyFill="1" applyAlignment="1">
      <alignment horizontal="right"/>
    </xf>
    <xf numFmtId="164" fontId="2" fillId="0" borderId="0" xfId="0" applyNumberFormat="1" applyFont="1" applyFill="1" applyAlignment="1">
      <alignment/>
    </xf>
    <xf numFmtId="0" fontId="15" fillId="0" borderId="0" xfId="0" applyFont="1" applyBorder="1" applyAlignment="1">
      <alignment horizontal="left"/>
    </xf>
    <xf numFmtId="0" fontId="15" fillId="0" borderId="2" xfId="0" applyFont="1" applyBorder="1" applyAlignment="1">
      <alignment horizontal="right"/>
    </xf>
    <xf numFmtId="0" fontId="15" fillId="0" borderId="0" xfId="0" applyFont="1" applyFill="1" applyBorder="1" applyAlignment="1">
      <alignment horizontal="left"/>
    </xf>
    <xf numFmtId="0" fontId="0" fillId="0" borderId="6" xfId="0" applyFont="1" applyFill="1" applyBorder="1" applyAlignment="1">
      <alignment horizontal="right" wrapText="1"/>
    </xf>
    <xf numFmtId="0" fontId="15" fillId="0" borderId="0" xfId="0" applyFont="1" applyFill="1" applyBorder="1" applyAlignment="1">
      <alignment horizontal="right"/>
    </xf>
    <xf numFmtId="0" fontId="0" fillId="0" borderId="0" xfId="0" applyFont="1" applyFill="1" applyBorder="1" applyAlignment="1">
      <alignment horizontal="right"/>
    </xf>
    <xf numFmtId="2" fontId="10" fillId="0" borderId="0" xfId="0" applyNumberFormat="1" applyFont="1" applyFill="1" applyBorder="1" applyAlignment="1">
      <alignment/>
    </xf>
    <xf numFmtId="0" fontId="2" fillId="0" borderId="7" xfId="0" applyFont="1" applyBorder="1" applyAlignment="1">
      <alignment/>
    </xf>
    <xf numFmtId="0" fontId="2" fillId="0" borderId="7" xfId="0" applyFont="1" applyFill="1" applyBorder="1" applyAlignment="1">
      <alignment/>
    </xf>
    <xf numFmtId="0" fontId="1" fillId="0" borderId="0" xfId="0" applyFont="1" applyBorder="1" applyAlignment="1">
      <alignment/>
    </xf>
    <xf numFmtId="0" fontId="0" fillId="0" borderId="0" xfId="0" applyFont="1" applyFill="1" applyBorder="1" applyAlignment="1">
      <alignment horizontal="right" wrapText="1"/>
    </xf>
    <xf numFmtId="0" fontId="16" fillId="0" borderId="0" xfId="0" applyFont="1" applyBorder="1" applyAlignment="1">
      <alignment horizontal="right" vertical="center" wrapText="1"/>
    </xf>
    <xf numFmtId="0" fontId="16" fillId="0" borderId="2" xfId="0" applyFont="1" applyBorder="1" applyAlignment="1">
      <alignment horizontal="right" vertical="center" wrapText="1"/>
    </xf>
    <xf numFmtId="0" fontId="0" fillId="0" borderId="0" xfId="0" applyFont="1" applyFill="1" applyBorder="1" applyAlignment="1">
      <alignment horizontal="center" wrapText="1"/>
    </xf>
    <xf numFmtId="0" fontId="17" fillId="2" borderId="8" xfId="0" applyFont="1" applyFill="1" applyBorder="1" applyAlignment="1">
      <alignment horizontal="center" wrapText="1"/>
    </xf>
    <xf numFmtId="0" fontId="17" fillId="2" borderId="8" xfId="0" applyFont="1" applyFill="1" applyBorder="1" applyAlignment="1">
      <alignment horizontal="center" vertical="top" wrapText="1"/>
    </xf>
    <xf numFmtId="0" fontId="0" fillId="0" borderId="8" xfId="0" applyFont="1" applyBorder="1" applyAlignment="1">
      <alignment horizontal="center"/>
    </xf>
    <xf numFmtId="0" fontId="0" fillId="0" borderId="8" xfId="0" applyFont="1" applyBorder="1" applyAlignment="1">
      <alignment horizontal="center" wrapText="1"/>
    </xf>
    <xf numFmtId="1" fontId="17" fillId="0" borderId="0" xfId="0" applyNumberFormat="1" applyFont="1" applyFill="1" applyBorder="1" applyAlignment="1">
      <alignment horizontal="center" wrapText="1"/>
    </xf>
    <xf numFmtId="0" fontId="15" fillId="0" borderId="0" xfId="0" applyFont="1" applyFill="1" applyBorder="1" applyAlignment="1">
      <alignment horizontal="right" vertical="center" wrapText="1"/>
    </xf>
    <xf numFmtId="0" fontId="19" fillId="0" borderId="0" xfId="0" applyFont="1" applyAlignment="1">
      <alignment/>
    </xf>
    <xf numFmtId="0" fontId="9" fillId="3" borderId="9" xfId="0" applyFont="1" applyFill="1" applyBorder="1" applyAlignment="1">
      <alignment horizontal="center"/>
    </xf>
    <xf numFmtId="0" fontId="9" fillId="3" borderId="7" xfId="0" applyFont="1" applyFill="1" applyBorder="1" applyAlignment="1">
      <alignment horizontal="center"/>
    </xf>
    <xf numFmtId="0" fontId="9" fillId="3" borderId="10" xfId="0" applyFont="1" applyFill="1" applyBorder="1" applyAlignment="1">
      <alignment horizontal="center"/>
    </xf>
    <xf numFmtId="0" fontId="12" fillId="0" borderId="2" xfId="0" applyFont="1" applyFill="1" applyBorder="1" applyAlignment="1">
      <alignment horizontal="center"/>
    </xf>
    <xf numFmtId="0" fontId="0" fillId="0" borderId="0" xfId="0" applyFont="1" applyBorder="1" applyAlignment="1">
      <alignment horizontal="center"/>
    </xf>
    <xf numFmtId="0" fontId="0" fillId="0" borderId="2" xfId="0" applyFont="1" applyBorder="1" applyAlignment="1">
      <alignment wrapText="1"/>
    </xf>
    <xf numFmtId="0" fontId="0" fillId="0" borderId="0" xfId="0" applyFont="1" applyAlignment="1">
      <alignment wrapText="1"/>
    </xf>
    <xf numFmtId="0" fontId="0" fillId="0" borderId="1" xfId="0" applyFont="1" applyBorder="1" applyAlignment="1">
      <alignment wrapText="1"/>
    </xf>
    <xf numFmtId="0" fontId="15" fillId="0" borderId="0" xfId="0" applyFont="1" applyBorder="1" applyAlignment="1">
      <alignment horizontal="right"/>
    </xf>
    <xf numFmtId="0" fontId="0" fillId="4" borderId="11" xfId="0" applyFont="1" applyFill="1" applyBorder="1" applyAlignment="1" applyProtection="1">
      <alignment horizontal="center" wrapText="1"/>
      <protection locked="0"/>
    </xf>
    <xf numFmtId="0" fontId="0" fillId="4" borderId="0" xfId="0" applyFont="1" applyFill="1" applyBorder="1" applyAlignment="1" applyProtection="1">
      <alignment horizontal="center" wrapText="1"/>
      <protection locked="0"/>
    </xf>
    <xf numFmtId="0" fontId="0" fillId="4" borderId="11" xfId="0" applyFont="1" applyFill="1" applyBorder="1" applyAlignment="1" applyProtection="1">
      <alignment horizontal="right" wrapText="1"/>
      <protection locked="0"/>
    </xf>
    <xf numFmtId="0" fontId="0" fillId="4" borderId="11" xfId="0" applyFont="1" applyFill="1" applyBorder="1" applyAlignment="1" applyProtection="1">
      <alignment horizontal="right"/>
      <protection locked="0"/>
    </xf>
    <xf numFmtId="0" fontId="2" fillId="0" borderId="0" xfId="0" applyFont="1" applyAlignment="1" applyProtection="1">
      <alignment/>
      <protection hidden="1"/>
    </xf>
    <xf numFmtId="0" fontId="10" fillId="0" borderId="0" xfId="0" applyFont="1" applyAlignment="1" applyProtection="1">
      <alignment/>
      <protection hidden="1"/>
    </xf>
    <xf numFmtId="1" fontId="10" fillId="0" borderId="0" xfId="0" applyNumberFormat="1" applyFont="1" applyFill="1" applyBorder="1" applyAlignment="1" applyProtection="1">
      <alignment/>
      <protection hidden="1"/>
    </xf>
    <xf numFmtId="0" fontId="2" fillId="0" borderId="0" xfId="0" applyFont="1" applyAlignment="1" applyProtection="1">
      <alignment/>
      <protection/>
    </xf>
    <xf numFmtId="0" fontId="10" fillId="0" borderId="0" xfId="0" applyFont="1" applyFill="1" applyAlignment="1" applyProtection="1">
      <alignment horizontal="right"/>
      <protection/>
    </xf>
    <xf numFmtId="0" fontId="10" fillId="0" borderId="0" xfId="0" applyFont="1" applyAlignment="1" applyProtection="1">
      <alignment/>
      <protection/>
    </xf>
    <xf numFmtId="2" fontId="10" fillId="0" borderId="0" xfId="0" applyNumberFormat="1" applyFont="1" applyAlignment="1" applyProtection="1">
      <alignment/>
      <protection/>
    </xf>
    <xf numFmtId="0" fontId="8" fillId="0" borderId="0" xfId="0" applyFont="1" applyFill="1" applyAlignment="1" applyProtection="1">
      <alignment horizontal="right"/>
      <protection/>
    </xf>
    <xf numFmtId="166" fontId="10" fillId="0" borderId="0" xfId="0" applyNumberFormat="1" applyFont="1" applyAlignment="1" applyProtection="1">
      <alignment/>
      <protection/>
    </xf>
    <xf numFmtId="0" fontId="8" fillId="0" borderId="0" xfId="0" applyFont="1" applyAlignment="1" applyProtection="1">
      <alignment/>
      <protection/>
    </xf>
    <xf numFmtId="0" fontId="10" fillId="0" borderId="0" xfId="0" applyFont="1" applyAlignment="1" applyProtection="1">
      <alignment horizontal="right"/>
      <protection/>
    </xf>
    <xf numFmtId="0" fontId="10" fillId="0" borderId="0" xfId="0" applyFont="1" applyFill="1" applyBorder="1" applyAlignment="1" applyProtection="1">
      <alignment/>
      <protection/>
    </xf>
    <xf numFmtId="1" fontId="10" fillId="0" borderId="0" xfId="0" applyNumberFormat="1" applyFont="1" applyFill="1" applyBorder="1" applyAlignment="1" applyProtection="1">
      <alignment/>
      <protection/>
    </xf>
    <xf numFmtId="0" fontId="10" fillId="0" borderId="0" xfId="0" applyFont="1" applyFill="1" applyBorder="1" applyAlignment="1" applyProtection="1">
      <alignment horizontal="right"/>
      <protection/>
    </xf>
    <xf numFmtId="1" fontId="10" fillId="0" borderId="0" xfId="0" applyNumberFormat="1" applyFont="1" applyAlignment="1" applyProtection="1">
      <alignment/>
      <protection/>
    </xf>
    <xf numFmtId="0" fontId="10" fillId="0" borderId="0" xfId="0" applyFont="1" applyFill="1" applyAlignment="1" applyProtection="1">
      <alignment/>
      <protection/>
    </xf>
    <xf numFmtId="164" fontId="10" fillId="0" borderId="0" xfId="0" applyNumberFormat="1" applyFont="1" applyFill="1" applyAlignment="1" applyProtection="1">
      <alignment/>
      <protection/>
    </xf>
    <xf numFmtId="0" fontId="10" fillId="0" borderId="0" xfId="0" applyFont="1" applyAlignment="1" applyProtection="1">
      <alignment vertical="center" wrapText="1"/>
      <protection/>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Left Turn Lane Warrants</a:t>
            </a:r>
          </a:p>
        </c:rich>
      </c:tx>
      <c:layout/>
      <c:spPr>
        <a:noFill/>
        <a:ln>
          <a:noFill/>
        </a:ln>
      </c:spPr>
    </c:title>
    <c:plotArea>
      <c:layout>
        <c:manualLayout>
          <c:xMode val="edge"/>
          <c:yMode val="edge"/>
          <c:x val="0.0745"/>
          <c:y val="0.15425"/>
          <c:w val="0.83375"/>
          <c:h val="0.687"/>
        </c:manualLayout>
      </c:layout>
      <c:scatterChart>
        <c:scatterStyle val="smooth"/>
        <c:varyColors val="0"/>
        <c:ser>
          <c:idx val="0"/>
          <c:order val="0"/>
          <c:tx>
            <c:v>Data</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Percent val="0"/>
          </c:dLbls>
          <c:xVal>
            <c:numRef>
              <c:f>LTLaneWarrant!$N$4:$N$23</c:f>
              <c:numCache/>
            </c:numRef>
          </c:xVal>
          <c:yVal>
            <c:numRef>
              <c:f>LTLaneWarrant!$K$4:$K$23</c:f>
              <c:numCache/>
            </c:numRef>
          </c:yVal>
          <c:smooth val="1"/>
        </c:ser>
        <c:ser>
          <c:idx val="5"/>
          <c:order val="1"/>
          <c:tx>
            <c:v>Data Point</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FF0000"/>
                </a:solidFill>
              </a:ln>
            </c:spPr>
          </c:marker>
          <c:dLbls>
            <c:dLbl>
              <c:idx val="0"/>
              <c:txPr>
                <a:bodyPr vert="horz" rot="0"/>
                <a:lstStyle/>
                <a:p>
                  <a:pPr>
                    <a:defRPr lang="en-US" cap="none" sz="575" b="0" i="0" u="none" baseline="0">
                      <a:latin typeface="Arial"/>
                      <a:ea typeface="Arial"/>
                      <a:cs typeface="Arial"/>
                    </a:defRPr>
                  </a:pPr>
                </a:p>
              </c:txPr>
              <c:numFmt formatCode="General" sourceLinked="1"/>
              <c:spPr>
                <a:gradFill rotWithShape="1">
                  <a:gsLst>
                    <a:gs pos="0">
                      <a:srgbClr val="FFFFFF"/>
                    </a:gs>
                    <a:gs pos="100000">
                      <a:srgbClr val="FFFFFF"/>
                    </a:gs>
                  </a:gsLst>
                  <a:lin ang="5400000" scaled="1"/>
                </a:gradFill>
                <a:ln w="3175">
                  <a:noFill/>
                </a:ln>
              </c:spPr>
              <c:dLblPos val="t"/>
              <c:showLegendKey val="0"/>
              <c:showVal val="0"/>
              <c:showBubbleSize val="0"/>
              <c:showCatName val="0"/>
              <c:showSerName val="1"/>
              <c:showPercent val="0"/>
            </c:dLbl>
            <c:numFmt formatCode="General" sourceLinked="1"/>
            <c:txPr>
              <a:bodyPr vert="horz" rot="0"/>
              <a:lstStyle/>
              <a:p>
                <a:pPr>
                  <a:defRPr lang="en-US" cap="none" sz="575" b="0" i="0" u="none" baseline="0">
                    <a:latin typeface="Arial"/>
                    <a:ea typeface="Arial"/>
                    <a:cs typeface="Arial"/>
                  </a:defRPr>
                </a:pPr>
              </a:p>
            </c:txPr>
            <c:dLblPos val="t"/>
            <c:showLegendKey val="0"/>
            <c:showVal val="0"/>
            <c:showBubbleSize val="0"/>
            <c:showCatName val="0"/>
            <c:showSerName val="1"/>
            <c:showPercent val="0"/>
          </c:dLbls>
          <c:xVal>
            <c:numRef>
              <c:f>LTLaneWarrant!$N$25</c:f>
              <c:numCache/>
            </c:numRef>
          </c:xVal>
          <c:yVal>
            <c:numRef>
              <c:f>LTLaneWarrant!$K$25</c:f>
              <c:numCache/>
            </c:numRef>
          </c:yVal>
          <c:smooth val="1"/>
        </c:ser>
        <c:ser>
          <c:idx val="1"/>
          <c:order val="2"/>
          <c:tx>
            <c:v>Left Turn Threshold</c:v>
          </c:tx>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txPr>
                <a:bodyPr vert="horz" rot="0" anchor="b"/>
                <a:lstStyle/>
                <a:p>
                  <a:pPr>
                    <a:defRPr lang="en-US" cap="none" sz="575" b="0" i="0" u="none" baseline="0">
                      <a:latin typeface="Arial"/>
                      <a:ea typeface="Arial"/>
                      <a:cs typeface="Arial"/>
                    </a:defRPr>
                  </a:pPr>
                </a:p>
              </c:txPr>
              <c:numFmt formatCode="General" sourceLinked="1"/>
              <c:spPr>
                <a:gradFill rotWithShape="1">
                  <a:gsLst>
                    <a:gs pos="0">
                      <a:srgbClr val="FFFFFF"/>
                    </a:gs>
                    <a:gs pos="100000">
                      <a:srgbClr val="FFFFFF"/>
                    </a:gs>
                  </a:gsLst>
                  <a:lin ang="0" scaled="1"/>
                </a:gradFill>
                <a:ln w="3175">
                  <a:noFill/>
                </a:ln>
              </c:spPr>
              <c:showLegendKey val="0"/>
              <c:showVal val="0"/>
              <c:showBubbleSize val="0"/>
              <c:showCatName val="0"/>
              <c:showSerName val="1"/>
              <c:showPercent val="0"/>
            </c:dLbl>
            <c:numFmt formatCode="General" sourceLinked="1"/>
            <c:spPr>
              <a:gradFill rotWithShape="1">
                <a:gsLst>
                  <a:gs pos="0">
                    <a:srgbClr val="FFFFFF"/>
                  </a:gs>
                  <a:gs pos="100000">
                    <a:srgbClr val="FFFFFF"/>
                  </a:gs>
                </a:gsLst>
                <a:lin ang="0" scaled="1"/>
              </a:gradFill>
              <a:ln w="3175">
                <a:noFill/>
              </a:ln>
            </c:spPr>
            <c:txPr>
              <a:bodyPr vert="horz" rot="0" anchor="ctr"/>
              <a:lstStyle/>
              <a:p>
                <a:pPr algn="ctr">
                  <a:defRPr lang="en-US" cap="none" sz="575" b="0" i="0" u="none" baseline="0">
                    <a:latin typeface="Arial"/>
                    <a:ea typeface="Arial"/>
                    <a:cs typeface="Arial"/>
                  </a:defRPr>
                </a:pPr>
              </a:p>
            </c:txPr>
            <c:showLegendKey val="0"/>
            <c:showVal val="0"/>
            <c:showBubbleSize val="0"/>
            <c:showCatName val="0"/>
            <c:showSerName val="1"/>
            <c:showPercent val="0"/>
          </c:dLbls>
          <c:xVal>
            <c:numRef>
              <c:f>LTLaneWarrant!$O$24</c:f>
              <c:numCache/>
            </c:numRef>
          </c:xVal>
          <c:yVal>
            <c:numRef>
              <c:f>LTLaneWarrant!$K$24</c:f>
              <c:numCache/>
            </c:numRef>
          </c:yVal>
          <c:smooth val="1"/>
        </c:ser>
        <c:axId val="43093967"/>
        <c:axId val="52301384"/>
      </c:scatterChart>
      <c:valAx>
        <c:axId val="43093967"/>
        <c:scaling>
          <c:orientation val="minMax"/>
          <c:max val="1200"/>
        </c:scaling>
        <c:axPos val="b"/>
        <c:title>
          <c:tx>
            <c:rich>
              <a:bodyPr vert="horz" rot="0" anchor="ctr"/>
              <a:lstStyle/>
              <a:p>
                <a:pPr algn="ctr">
                  <a:defRPr/>
                </a:pPr>
                <a:r>
                  <a:rPr lang="en-US" cap="none" sz="800" b="1" i="0" u="none" baseline="0">
                    <a:latin typeface="Arial"/>
                    <a:ea typeface="Arial"/>
                    <a:cs typeface="Arial"/>
                  </a:rPr>
                  <a:t>Advancing Volume</a:t>
                </a:r>
              </a:p>
            </c:rich>
          </c:tx>
          <c:layout>
            <c:manualLayout>
              <c:xMode val="factor"/>
              <c:yMode val="factor"/>
              <c:x val="0.0025"/>
              <c:y val="0.0005"/>
            </c:manualLayout>
          </c:layout>
          <c:overlay val="0"/>
          <c:spPr>
            <a:noFill/>
            <a:ln>
              <a:noFill/>
            </a:ln>
          </c:spPr>
        </c:title>
        <c:majorGridlines/>
        <c:delete val="0"/>
        <c:numFmt formatCode="General" sourceLinked="1"/>
        <c:majorTickMark val="out"/>
        <c:minorTickMark val="none"/>
        <c:tickLblPos val="nextTo"/>
        <c:txPr>
          <a:bodyPr/>
          <a:lstStyle/>
          <a:p>
            <a:pPr>
              <a:defRPr lang="en-US" cap="none" sz="600" b="0" i="0" u="none" baseline="0">
                <a:latin typeface="Arial"/>
                <a:ea typeface="Arial"/>
                <a:cs typeface="Arial"/>
              </a:defRPr>
            </a:pPr>
          </a:p>
        </c:txPr>
        <c:crossAx val="52301384"/>
        <c:crosses val="autoZero"/>
        <c:crossBetween val="midCat"/>
        <c:dispUnits/>
        <c:majorUnit val="100"/>
      </c:valAx>
      <c:valAx>
        <c:axId val="52301384"/>
        <c:scaling>
          <c:orientation val="minMax"/>
          <c:max val="800"/>
        </c:scaling>
        <c:axPos val="l"/>
        <c:title>
          <c:tx>
            <c:rich>
              <a:bodyPr vert="horz" rot="-5400000" anchor="ctr"/>
              <a:lstStyle/>
              <a:p>
                <a:pPr algn="ctr">
                  <a:defRPr/>
                </a:pPr>
                <a:r>
                  <a:rPr lang="en-US" cap="none" sz="800" b="1" i="0" u="none" baseline="0">
                    <a:latin typeface="Arial"/>
                    <a:ea typeface="Arial"/>
                    <a:cs typeface="Arial"/>
                  </a:rPr>
                  <a:t>Opposing Volume</a:t>
                </a:r>
              </a:p>
            </c:rich>
          </c:tx>
          <c:layout/>
          <c:overlay val="0"/>
          <c:spPr>
            <a:noFill/>
            <a:ln>
              <a:noFill/>
            </a:ln>
          </c:spPr>
        </c:title>
        <c:majorGridlines/>
        <c:delete val="0"/>
        <c:numFmt formatCode="General" sourceLinked="1"/>
        <c:majorTickMark val="out"/>
        <c:minorTickMark val="none"/>
        <c:tickLblPos val="nextTo"/>
        <c:txPr>
          <a:bodyPr/>
          <a:lstStyle/>
          <a:p>
            <a:pPr>
              <a:defRPr lang="en-US" cap="none" sz="600" b="0" i="0" u="none" baseline="0">
                <a:latin typeface="Arial"/>
                <a:ea typeface="Arial"/>
                <a:cs typeface="Arial"/>
              </a:defRPr>
            </a:pPr>
          </a:p>
        </c:txPr>
        <c:crossAx val="43093967"/>
        <c:crosses val="autoZero"/>
        <c:crossBetween val="midCat"/>
        <c:dispUnits/>
      </c:valAx>
      <c:spPr>
        <a:solidFill>
          <a:srgbClr val="FFFFFF"/>
        </a:solidFill>
        <a:ln w="25400">
          <a:solidFill>
            <a:srgbClr val="000000"/>
          </a:solidFill>
        </a:ln>
      </c:spPr>
    </c:plotArea>
    <c:plotVisOnly val="1"/>
    <c:dispBlanksAs val="gap"/>
    <c:showDLblsOverMax val="0"/>
  </c:chart>
  <c:spPr>
    <a:gradFill rotWithShape="1">
      <a:gsLst>
        <a:gs pos="0">
          <a:srgbClr val="CCFFCC"/>
        </a:gs>
        <a:gs pos="50000">
          <a:srgbClr val="5E755E"/>
        </a:gs>
        <a:gs pos="100000">
          <a:srgbClr val="CCFFCC"/>
        </a:gs>
      </a:gsLst>
      <a:lin ang="5400000" scaled="1"/>
    </a:gradFill>
    <a:ln w="3175">
      <a:noFill/>
    </a:ln>
  </c:spPr>
  <c:txPr>
    <a:bodyPr vert="horz" rot="0"/>
    <a:lstStyle/>
    <a:p>
      <a:pPr>
        <a:defRPr lang="en-US" cap="none" sz="8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Right Turn Lane Warrants</a:t>
            </a:r>
          </a:p>
        </c:rich>
      </c:tx>
      <c:layout/>
      <c:spPr>
        <a:noFill/>
        <a:ln>
          <a:noFill/>
        </a:ln>
      </c:spPr>
    </c:title>
    <c:plotArea>
      <c:layout>
        <c:manualLayout>
          <c:xMode val="edge"/>
          <c:yMode val="edge"/>
          <c:x val="0.07475"/>
          <c:y val="0.1565"/>
          <c:w val="0.8335"/>
          <c:h val="0.6825"/>
        </c:manualLayout>
      </c:layout>
      <c:scatterChart>
        <c:scatterStyle val="smooth"/>
        <c:varyColors val="0"/>
        <c:ser>
          <c:idx val="0"/>
          <c:order val="0"/>
          <c:tx>
            <c:v>Data</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Percent val="0"/>
          </c:dLbls>
          <c:xVal>
            <c:numRef>
              <c:f>RTLaneWarrant!$M$2:$X$2</c:f>
              <c:numCache/>
            </c:numRef>
          </c:xVal>
          <c:yVal>
            <c:numRef>
              <c:f>RTLaneWarrant!$M$3:$X$3</c:f>
              <c:numCache/>
            </c:numRef>
          </c:yVal>
          <c:smooth val="1"/>
        </c:ser>
        <c:ser>
          <c:idx val="5"/>
          <c:order val="1"/>
          <c:tx>
            <c:v>Data Point</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FF0000"/>
                </a:solidFill>
              </a:ln>
            </c:spPr>
          </c:marker>
          <c:dLbls>
            <c:dLbl>
              <c:idx val="0"/>
              <c:txPr>
                <a:bodyPr vert="horz" rot="0"/>
                <a:lstStyle/>
                <a:p>
                  <a:pPr>
                    <a:defRPr lang="en-US" cap="none" sz="575" b="0" i="0" u="none" baseline="0">
                      <a:latin typeface="Arial"/>
                      <a:ea typeface="Arial"/>
                      <a:cs typeface="Arial"/>
                    </a:defRPr>
                  </a:pPr>
                </a:p>
              </c:txPr>
              <c:numFmt formatCode="General" sourceLinked="1"/>
              <c:spPr>
                <a:noFill/>
                <a:ln>
                  <a:noFill/>
                </a:ln>
              </c:spPr>
              <c:dLblPos val="t"/>
              <c:showLegendKey val="0"/>
              <c:showVal val="0"/>
              <c:showBubbleSize val="0"/>
              <c:showCatName val="0"/>
              <c:showSerName val="1"/>
              <c:showPercent val="0"/>
            </c:dLbl>
            <c:numFmt formatCode="General" sourceLinked="1"/>
            <c:spPr>
              <a:noFill/>
              <a:ln>
                <a:noFill/>
              </a:ln>
            </c:spPr>
            <c:txPr>
              <a:bodyPr vert="horz" rot="0"/>
              <a:lstStyle/>
              <a:p>
                <a:pPr>
                  <a:defRPr lang="en-US" cap="none" sz="575" b="0" i="0" u="none" baseline="0">
                    <a:latin typeface="Arial"/>
                    <a:ea typeface="Arial"/>
                    <a:cs typeface="Arial"/>
                  </a:defRPr>
                </a:pPr>
              </a:p>
            </c:txPr>
            <c:dLblPos val="t"/>
            <c:showLegendKey val="0"/>
            <c:showVal val="0"/>
            <c:showBubbleSize val="0"/>
            <c:showCatName val="0"/>
            <c:showSerName val="1"/>
            <c:showPercent val="0"/>
          </c:dLbls>
          <c:xVal>
            <c:numRef>
              <c:f>RTLaneWarrant!$M$7</c:f>
              <c:numCache/>
            </c:numRef>
          </c:xVal>
          <c:yVal>
            <c:numRef>
              <c:f>RTLaneWarrant!$M$8</c:f>
              <c:numCache/>
            </c:numRef>
          </c:yVal>
          <c:smooth val="1"/>
        </c:ser>
        <c:axId val="950409"/>
        <c:axId val="8553682"/>
      </c:scatterChart>
      <c:valAx>
        <c:axId val="950409"/>
        <c:scaling>
          <c:orientation val="minMax"/>
          <c:max val="0.5"/>
          <c:min val="0"/>
        </c:scaling>
        <c:axPos val="b"/>
        <c:title>
          <c:tx>
            <c:rich>
              <a:bodyPr vert="horz" rot="0" anchor="ctr"/>
              <a:lstStyle/>
              <a:p>
                <a:pPr algn="ctr">
                  <a:defRPr/>
                </a:pPr>
                <a:r>
                  <a:rPr lang="en-US" cap="none" sz="800" b="1" i="0" u="none" baseline="0">
                    <a:latin typeface="Arial"/>
                    <a:ea typeface="Arial"/>
                    <a:cs typeface="Arial"/>
                  </a:rPr>
                  <a:t>Percent Right Turn</a:t>
                </a:r>
              </a:p>
            </c:rich>
          </c:tx>
          <c:layout>
            <c:manualLayout>
              <c:xMode val="factor"/>
              <c:yMode val="factor"/>
              <c:x val="0.0025"/>
              <c:y val="0.0005"/>
            </c:manualLayout>
          </c:layout>
          <c:overlay val="0"/>
          <c:spPr>
            <a:noFill/>
            <a:ln>
              <a:noFill/>
            </a:ln>
          </c:spPr>
        </c:title>
        <c:majorGridlines/>
        <c:delete val="0"/>
        <c:numFmt formatCode="General" sourceLinked="1"/>
        <c:majorTickMark val="out"/>
        <c:minorTickMark val="none"/>
        <c:tickLblPos val="nextTo"/>
        <c:crossAx val="8553682"/>
        <c:crosses val="autoZero"/>
        <c:crossBetween val="midCat"/>
        <c:dispUnits/>
      </c:valAx>
      <c:valAx>
        <c:axId val="8553682"/>
        <c:scaling>
          <c:orientation val="minMax"/>
          <c:max val="1200"/>
        </c:scaling>
        <c:axPos val="l"/>
        <c:title>
          <c:tx>
            <c:rich>
              <a:bodyPr vert="horz" rot="-5400000" anchor="ctr"/>
              <a:lstStyle/>
              <a:p>
                <a:pPr algn="ctr">
                  <a:defRPr/>
                </a:pPr>
                <a:r>
                  <a:rPr lang="en-US" cap="none" sz="800" b="1" i="0" u="none" baseline="0">
                    <a:latin typeface="Arial"/>
                    <a:ea typeface="Arial"/>
                    <a:cs typeface="Arial"/>
                  </a:rPr>
                  <a:t>Advancing Volume</a:t>
                </a:r>
              </a:p>
            </c:rich>
          </c:tx>
          <c:layout/>
          <c:overlay val="0"/>
          <c:spPr>
            <a:noFill/>
            <a:ln>
              <a:noFill/>
            </a:ln>
          </c:spPr>
        </c:title>
        <c:majorGridlines/>
        <c:delete val="0"/>
        <c:numFmt formatCode="General" sourceLinked="1"/>
        <c:majorTickMark val="out"/>
        <c:minorTickMark val="none"/>
        <c:tickLblPos val="nextTo"/>
        <c:crossAx val="950409"/>
        <c:crosses val="autoZero"/>
        <c:crossBetween val="midCat"/>
        <c:dispUnits/>
      </c:valAx>
      <c:spPr>
        <a:solidFill>
          <a:srgbClr val="FFFFFF"/>
        </a:solidFill>
        <a:ln w="25400">
          <a:solidFill>
            <a:srgbClr val="000000"/>
          </a:solidFill>
        </a:ln>
      </c:spPr>
    </c:plotArea>
    <c:plotVisOnly val="1"/>
    <c:dispBlanksAs val="gap"/>
    <c:showDLblsOverMax val="0"/>
  </c:chart>
  <c:spPr>
    <a:gradFill rotWithShape="1">
      <a:gsLst>
        <a:gs pos="0">
          <a:srgbClr val="CCFFCC"/>
        </a:gs>
        <a:gs pos="50000">
          <a:srgbClr val="5E755E"/>
        </a:gs>
        <a:gs pos="100000">
          <a:srgbClr val="CCFFCC"/>
        </a:gs>
      </a:gsLst>
      <a:lin ang="5400000" scaled="1"/>
    </a:gradFill>
    <a:ln w="3175">
      <a:noFill/>
    </a:ln>
  </c:spPr>
  <c:txPr>
    <a:bodyPr vert="horz" rot="0"/>
    <a:lstStyle/>
    <a:p>
      <a:pPr>
        <a:defRPr lang="en-US" cap="none" sz="8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609600</xdr:colOff>
      <xdr:row>5</xdr:row>
      <xdr:rowOff>142875</xdr:rowOff>
    </xdr:from>
    <xdr:to>
      <xdr:col>5</xdr:col>
      <xdr:colOff>485775</xdr:colOff>
      <xdr:row>13</xdr:row>
      <xdr:rowOff>238125</xdr:rowOff>
    </xdr:to>
    <xdr:graphicFrame>
      <xdr:nvGraphicFramePr>
        <xdr:cNvPr id="1" name="Chart 148"/>
        <xdr:cNvGraphicFramePr/>
      </xdr:nvGraphicFramePr>
      <xdr:xfrm>
        <a:off x="609600" y="1962150"/>
        <a:ext cx="4229100" cy="2705100"/>
      </xdr:xfrm>
      <a:graphic>
        <a:graphicData uri="http://schemas.openxmlformats.org/drawingml/2006/chart">
          <c:chart xmlns:c="http://schemas.openxmlformats.org/drawingml/2006/chart" r:id="rId1"/>
        </a:graphicData>
      </a:graphic>
    </xdr:graphicFrame>
    <xdr:clientData/>
  </xdr:twoCellAnchor>
  <xdr:twoCellAnchor>
    <xdr:from>
      <xdr:col>0</xdr:col>
      <xdr:colOff>609600</xdr:colOff>
      <xdr:row>12</xdr:row>
      <xdr:rowOff>209550</xdr:rowOff>
    </xdr:from>
    <xdr:to>
      <xdr:col>5</xdr:col>
      <xdr:colOff>485775</xdr:colOff>
      <xdr:row>13</xdr:row>
      <xdr:rowOff>228600</xdr:rowOff>
    </xdr:to>
    <xdr:sp textlink="$K$26">
      <xdr:nvSpPr>
        <xdr:cNvPr id="2" name="TextBox 149"/>
        <xdr:cNvSpPr txBox="1">
          <a:spLocks noChangeArrowheads="1"/>
        </xdr:cNvSpPr>
      </xdr:nvSpPr>
      <xdr:spPr>
        <a:xfrm>
          <a:off x="609600" y="4314825"/>
          <a:ext cx="4229100" cy="342900"/>
        </a:xfrm>
        <a:prstGeom prst="rect">
          <a:avLst/>
        </a:prstGeom>
        <a:solidFill>
          <a:srgbClr val="CCFFCC">
            <a:alpha val="0"/>
          </a:srgbClr>
        </a:solidFill>
        <a:ln w="9525" cmpd="sng">
          <a:noFill/>
        </a:ln>
      </xdr:spPr>
      <xdr:txBody>
        <a:bodyPr vertOverflow="clip" wrap="square"/>
        <a:p>
          <a:pPr algn="ctr">
            <a:defRPr/>
          </a:pPr>
          <a:fld id="{c2536e15-498f-49bc-85b7-4c3dbec19f08}" type="TxLink">
            <a:rPr lang="en-US" cap="none" sz="2000" b="0" i="0" u="none" baseline="0">
              <a:latin typeface="Arial"/>
              <a:ea typeface="Arial"/>
              <a:cs typeface="Arial"/>
            </a:rPr>
            <a:t>Left Turn Lane WARRANTED</a:t>
          </a:fld>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609600</xdr:colOff>
      <xdr:row>5</xdr:row>
      <xdr:rowOff>142875</xdr:rowOff>
    </xdr:from>
    <xdr:to>
      <xdr:col>5</xdr:col>
      <xdr:colOff>485775</xdr:colOff>
      <xdr:row>13</xdr:row>
      <xdr:rowOff>238125</xdr:rowOff>
    </xdr:to>
    <xdr:graphicFrame>
      <xdr:nvGraphicFramePr>
        <xdr:cNvPr id="1" name="Chart 1"/>
        <xdr:cNvGraphicFramePr/>
      </xdr:nvGraphicFramePr>
      <xdr:xfrm>
        <a:off x="609600" y="1762125"/>
        <a:ext cx="4229100" cy="2695575"/>
      </xdr:xfrm>
      <a:graphic>
        <a:graphicData uri="http://schemas.openxmlformats.org/drawingml/2006/chart">
          <c:chart xmlns:c="http://schemas.openxmlformats.org/drawingml/2006/chart" r:id="rId1"/>
        </a:graphicData>
      </a:graphic>
    </xdr:graphicFrame>
    <xdr:clientData/>
  </xdr:twoCellAnchor>
  <xdr:twoCellAnchor>
    <xdr:from>
      <xdr:col>0</xdr:col>
      <xdr:colOff>609600</xdr:colOff>
      <xdr:row>12</xdr:row>
      <xdr:rowOff>209550</xdr:rowOff>
    </xdr:from>
    <xdr:to>
      <xdr:col>5</xdr:col>
      <xdr:colOff>485775</xdr:colOff>
      <xdr:row>13</xdr:row>
      <xdr:rowOff>228600</xdr:rowOff>
    </xdr:to>
    <xdr:sp textlink="#REF!">
      <xdr:nvSpPr>
        <xdr:cNvPr id="2" name="TextBox 2"/>
        <xdr:cNvSpPr txBox="1">
          <a:spLocks noChangeArrowheads="1"/>
        </xdr:cNvSpPr>
      </xdr:nvSpPr>
      <xdr:spPr>
        <a:xfrm>
          <a:off x="609600" y="4105275"/>
          <a:ext cx="4229100" cy="342900"/>
        </a:xfrm>
        <a:prstGeom prst="rect">
          <a:avLst/>
        </a:prstGeom>
        <a:solidFill>
          <a:srgbClr val="CCFFCC">
            <a:alpha val="0"/>
          </a:srgbClr>
        </a:solidFill>
        <a:ln w="9525" cmpd="sng">
          <a:noFill/>
        </a:ln>
      </xdr:spPr>
      <xdr:txBody>
        <a:bodyPr vertOverflow="clip" wrap="square"/>
        <a:p>
          <a:pPr algn="ctr">
            <a:defRPr/>
          </a:pPr>
          <a:fld id="{4f79fe75-b831-4d4c-b619-622287b8a577}" type="TxLink">
            <a:rPr lang="en-US" cap="none" u="none" baseline="0">
              <a:latin typeface="Arial"/>
              <a:ea typeface="Arial"/>
              <a:cs typeface="Arial"/>
            </a:rPr>
            <a:t/>
          </a:fld>
        </a:p>
      </xdr:txBody>
    </xdr:sp>
    <xdr:clientData/>
  </xdr:twoCellAnchor>
  <xdr:twoCellAnchor>
    <xdr:from>
      <xdr:col>0</xdr:col>
      <xdr:colOff>600075</xdr:colOff>
      <xdr:row>12</xdr:row>
      <xdr:rowOff>209550</xdr:rowOff>
    </xdr:from>
    <xdr:to>
      <xdr:col>5</xdr:col>
      <xdr:colOff>476250</xdr:colOff>
      <xdr:row>13</xdr:row>
      <xdr:rowOff>228600</xdr:rowOff>
    </xdr:to>
    <xdr:sp textlink="$N9">
      <xdr:nvSpPr>
        <xdr:cNvPr id="3" name="TextBox 3"/>
        <xdr:cNvSpPr txBox="1">
          <a:spLocks noChangeArrowheads="1"/>
        </xdr:cNvSpPr>
      </xdr:nvSpPr>
      <xdr:spPr>
        <a:xfrm>
          <a:off x="600075" y="4105275"/>
          <a:ext cx="4229100" cy="342900"/>
        </a:xfrm>
        <a:prstGeom prst="rect">
          <a:avLst/>
        </a:prstGeom>
        <a:solidFill>
          <a:srgbClr val="CCFFCC">
            <a:alpha val="0"/>
          </a:srgbClr>
        </a:solidFill>
        <a:ln w="9525" cmpd="sng">
          <a:noFill/>
        </a:ln>
      </xdr:spPr>
      <xdr:txBody>
        <a:bodyPr vertOverflow="clip" wrap="square" anchor="b"/>
        <a:p>
          <a:pPr algn="ctr">
            <a:defRPr/>
          </a:pPr>
          <a:fld id="{13719d48-a1f5-4476-bda1-3d3274b520ac}" type="TxLink">
            <a:rPr lang="en-US" cap="none" sz="2000" b="0" i="0" u="none" baseline="0">
              <a:latin typeface="Arial"/>
              <a:ea typeface="Arial"/>
              <a:cs typeface="Arial"/>
            </a:rPr>
            <a:t>Right Turn Lane NOT Warranted</a:t>
          </a:fld>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A26"/>
  <sheetViews>
    <sheetView tabSelected="1" workbookViewId="0" topLeftCell="A1">
      <selection activeCell="B18" sqref="B18"/>
    </sheetView>
  </sheetViews>
  <sheetFormatPr defaultColWidth="9.140625" defaultRowHeight="12.75"/>
  <cols>
    <col min="1" max="1" width="27.7109375" style="1" bestFit="1" customWidth="1"/>
    <col min="2" max="2" width="8.421875" style="1" bestFit="1" customWidth="1"/>
    <col min="3" max="3" width="5.7109375" style="1" customWidth="1"/>
    <col min="4" max="4" width="15.00390625" style="2" customWidth="1"/>
    <col min="5" max="5" width="8.421875" style="1" customWidth="1"/>
    <col min="6" max="6" width="10.57421875" style="1" bestFit="1" customWidth="1"/>
    <col min="7" max="7" width="9.140625" style="1" customWidth="1"/>
    <col min="8" max="8" width="13.7109375" style="1" customWidth="1"/>
    <col min="9" max="9" width="9.140625" style="69" customWidth="1"/>
    <col min="10" max="10" width="13.7109375" style="69" customWidth="1"/>
    <col min="11" max="14" width="9.140625" style="69" customWidth="1"/>
    <col min="15" max="15" width="9.140625" style="66" customWidth="1"/>
    <col min="16" max="20" width="9.140625" style="1" customWidth="1"/>
    <col min="21" max="21" width="9.57421875" style="1" customWidth="1"/>
    <col min="22" max="22" width="9.140625" style="1" customWidth="1"/>
    <col min="23" max="23" width="10.7109375" style="1" customWidth="1"/>
    <col min="24" max="16384" width="9.140625" style="1" customWidth="1"/>
  </cols>
  <sheetData>
    <row r="1" spans="1:16" ht="25.5">
      <c r="A1" s="53" t="s">
        <v>22</v>
      </c>
      <c r="B1" s="54"/>
      <c r="C1" s="54"/>
      <c r="D1" s="54"/>
      <c r="E1" s="54"/>
      <c r="F1" s="54"/>
      <c r="G1" s="55"/>
      <c r="O1" s="67"/>
      <c r="P1" s="5"/>
    </row>
    <row r="2" spans="1:18" ht="25.5">
      <c r="A2" s="56" t="s">
        <v>12</v>
      </c>
      <c r="B2" s="57"/>
      <c r="C2" s="17"/>
      <c r="D2" s="17"/>
      <c r="E2" s="17"/>
      <c r="F2" s="17"/>
      <c r="G2" s="18"/>
      <c r="I2" s="70" t="s">
        <v>2</v>
      </c>
      <c r="J2" s="71">
        <f>IF(E3&lt;46,0.02,0.01)</f>
        <v>0.02</v>
      </c>
      <c r="K2" s="71"/>
      <c r="L2" s="72"/>
      <c r="M2" s="71"/>
      <c r="N2" s="71" t="s">
        <v>3</v>
      </c>
      <c r="O2" s="67"/>
      <c r="P2" s="5"/>
      <c r="Q2" s="6"/>
      <c r="R2" s="6"/>
    </row>
    <row r="3" spans="1:27" ht="25.5">
      <c r="A3" s="33" t="s">
        <v>9</v>
      </c>
      <c r="B3" s="64">
        <v>25</v>
      </c>
      <c r="C3" s="4"/>
      <c r="D3" s="32" t="s">
        <v>18</v>
      </c>
      <c r="E3" s="64">
        <v>45</v>
      </c>
      <c r="F3" s="4"/>
      <c r="G3" s="19"/>
      <c r="I3" s="73" t="s">
        <v>1</v>
      </c>
      <c r="J3" s="74">
        <f>J2</f>
        <v>0.02</v>
      </c>
      <c r="K3" s="71" t="s">
        <v>4</v>
      </c>
      <c r="L3" s="71" t="s">
        <v>5</v>
      </c>
      <c r="M3" s="75" t="s">
        <v>0</v>
      </c>
      <c r="N3" s="72">
        <f>B3/J8</f>
        <v>0.04494331524364895</v>
      </c>
      <c r="O3" s="67"/>
      <c r="P3" s="5"/>
      <c r="Q3" s="6" t="s">
        <v>2</v>
      </c>
      <c r="R3" s="6">
        <f>IF(E3&lt;46,0.03,0.015)</f>
        <v>0.03</v>
      </c>
      <c r="T3" s="27"/>
      <c r="U3" s="28"/>
      <c r="V3" s="12"/>
      <c r="W3" s="12"/>
      <c r="X3" s="12">
        <v>75</v>
      </c>
      <c r="Y3" s="12">
        <v>100</v>
      </c>
      <c r="Z3" s="12">
        <v>200</v>
      </c>
      <c r="AA3" s="12">
        <v>300</v>
      </c>
    </row>
    <row r="4" spans="1:27" ht="30">
      <c r="A4" s="33" t="s">
        <v>10</v>
      </c>
      <c r="B4" s="65">
        <v>550</v>
      </c>
      <c r="C4" s="4"/>
      <c r="D4" s="51" t="s">
        <v>48</v>
      </c>
      <c r="E4" s="64">
        <v>2</v>
      </c>
      <c r="F4" s="4"/>
      <c r="G4" s="19"/>
      <c r="I4" s="76" t="s">
        <v>6</v>
      </c>
      <c r="J4" s="71">
        <v>2.7</v>
      </c>
      <c r="K4" s="77">
        <v>1</v>
      </c>
      <c r="L4" s="77">
        <f aca="true" t="shared" si="0" ref="L4:L25">3600/(K4*EXP(-K4*$J$5/3600))-3600/K4-$J$5</f>
        <v>0.002335608804424183</v>
      </c>
      <c r="M4" s="77">
        <f aca="true" t="shared" si="1" ref="M4:M25">K4*(EXP(-K4*$J$5/3600))/(1-EXP(-(K4*$J$6/3600)))</f>
        <v>1635.0005425822687</v>
      </c>
      <c r="N4" s="78">
        <f>SQRT(2400*$J$3*$M4/(N$3*(1-N$3))/($L4+$J$4))</f>
        <v>822.5509350703134</v>
      </c>
      <c r="O4" s="67"/>
      <c r="P4" s="5"/>
      <c r="Q4" s="8" t="s">
        <v>1</v>
      </c>
      <c r="R4" s="6">
        <f>SQRT(R3)</f>
        <v>0.17320508075688773</v>
      </c>
      <c r="T4" s="27"/>
      <c r="U4" s="29"/>
      <c r="V4" s="12" t="s">
        <v>19</v>
      </c>
      <c r="W4" s="12" t="s">
        <v>0</v>
      </c>
      <c r="X4" s="12" t="s">
        <v>20</v>
      </c>
      <c r="Y4" s="12" t="s">
        <v>20</v>
      </c>
      <c r="Z4" s="12" t="s">
        <v>20</v>
      </c>
      <c r="AA4" s="12" t="s">
        <v>20</v>
      </c>
    </row>
    <row r="5" spans="1:27" ht="36.75">
      <c r="A5" s="33" t="s">
        <v>11</v>
      </c>
      <c r="B5" s="65">
        <v>650</v>
      </c>
      <c r="C5" s="4"/>
      <c r="D5" s="51" t="s">
        <v>47</v>
      </c>
      <c r="E5" s="64">
        <v>0.05</v>
      </c>
      <c r="F5" s="4"/>
      <c r="G5" s="19"/>
      <c r="I5" s="70" t="s">
        <v>7</v>
      </c>
      <c r="J5" s="71">
        <v>4.1</v>
      </c>
      <c r="K5" s="77">
        <v>100</v>
      </c>
      <c r="L5" s="77">
        <f t="shared" si="0"/>
        <v>0.2425937363767776</v>
      </c>
      <c r="M5" s="77">
        <f t="shared" si="1"/>
        <v>1505.292978885737</v>
      </c>
      <c r="N5" s="78">
        <f aca="true" t="shared" si="2" ref="N5:N24">SQRT(2400*$J$3*$M5/(N$3*(1-N$3))/($L5+$J$4))</f>
        <v>756.343113013849</v>
      </c>
      <c r="O5" s="67"/>
      <c r="P5" s="5"/>
      <c r="Q5" s="8" t="s">
        <v>16</v>
      </c>
      <c r="R5" s="6">
        <f>R4^3</f>
        <v>0.005196152422706632</v>
      </c>
      <c r="T5" s="30"/>
      <c r="V5" s="12">
        <v>1</v>
      </c>
      <c r="W5" s="12">
        <f>V5*(EXP(-V5*5/3600))/(1-EXP(-(V5*2.2/3600)))</f>
        <v>1634.5918435361327</v>
      </c>
      <c r="X5" s="12">
        <f>($R$5^(1/(X$3/25+1)))*$W5</f>
        <v>438.8638392005776</v>
      </c>
      <c r="Y5" s="12">
        <v>541.3461060910646</v>
      </c>
      <c r="Z5" s="12">
        <v>864.0234241721961</v>
      </c>
      <c r="AA5" s="12">
        <v>1034.2412671600912</v>
      </c>
    </row>
    <row r="6" spans="1:27" ht="26.25">
      <c r="A6" s="20"/>
      <c r="B6" s="4"/>
      <c r="C6" s="4"/>
      <c r="D6" s="3"/>
      <c r="E6" s="4"/>
      <c r="F6" s="4"/>
      <c r="G6" s="19"/>
      <c r="I6" s="79" t="s">
        <v>8</v>
      </c>
      <c r="J6" s="71">
        <v>2.2</v>
      </c>
      <c r="K6" s="77">
        <v>150</v>
      </c>
      <c r="L6" s="77">
        <f t="shared" si="0"/>
        <v>0.3710324089999393</v>
      </c>
      <c r="M6" s="77">
        <f t="shared" si="1"/>
        <v>1443.5803672940337</v>
      </c>
      <c r="N6" s="78">
        <f t="shared" si="2"/>
        <v>725.0229859126216</v>
      </c>
      <c r="O6" s="67"/>
      <c r="P6" s="5"/>
      <c r="Q6" s="6" t="s">
        <v>17</v>
      </c>
      <c r="R6" s="6">
        <f>MAX(ROUNDUP(((LN(R5)/LN(B3/M25))-1),0)*25,75)</f>
        <v>75</v>
      </c>
      <c r="T6" s="30"/>
      <c r="V6" s="12">
        <v>100</v>
      </c>
      <c r="W6" s="12">
        <f aca="true" t="shared" si="3" ref="W6:W24">V6*(EXP(-V6*5/3600))/(1-EXP(-(V6*2.2/3600)))</f>
        <v>1468.127162813915</v>
      </c>
      <c r="X6" s="12">
        <f aca="true" t="shared" si="4" ref="X6:X24">($R$5^(1/(X$3/25+1)))*$W6</f>
        <v>394.1705237641018</v>
      </c>
      <c r="Y6" s="12">
        <v>512.7433663114052</v>
      </c>
      <c r="Z6" s="12">
        <v>818.3716001596847</v>
      </c>
      <c r="AA6" s="12">
        <v>979.5957575662918</v>
      </c>
    </row>
    <row r="7" spans="1:27" ht="25.5">
      <c r="A7" s="20"/>
      <c r="B7" s="4"/>
      <c r="C7" s="4"/>
      <c r="D7" s="3"/>
      <c r="E7" s="4"/>
      <c r="F7" s="4"/>
      <c r="G7" s="19"/>
      <c r="I7" s="77"/>
      <c r="J7" s="71"/>
      <c r="K7" s="77">
        <v>200</v>
      </c>
      <c r="L7" s="77">
        <f t="shared" si="0"/>
        <v>0.5045120746992584</v>
      </c>
      <c r="M7" s="77">
        <f t="shared" si="1"/>
        <v>1384.2901316387026</v>
      </c>
      <c r="N7" s="78">
        <f t="shared" si="2"/>
        <v>695.0340751821959</v>
      </c>
      <c r="O7" s="67"/>
      <c r="P7" s="5"/>
      <c r="R7" s="6">
        <f>LN(R5)/LN(B3/M25)</f>
        <v>1.4477451278766362</v>
      </c>
      <c r="T7" s="3"/>
      <c r="V7" s="12">
        <v>150</v>
      </c>
      <c r="W7" s="12">
        <f t="shared" si="3"/>
        <v>1390.4485513089867</v>
      </c>
      <c r="X7" s="12">
        <f t="shared" si="4"/>
        <v>373.31496046025285</v>
      </c>
      <c r="Y7" s="12">
        <v>485.6141136402038</v>
      </c>
      <c r="Z7" s="12">
        <v>775.0715569443354</v>
      </c>
      <c r="AA7" s="12">
        <v>927.7653438179203</v>
      </c>
    </row>
    <row r="8" spans="1:27" ht="25.5">
      <c r="A8" s="20"/>
      <c r="B8" s="4"/>
      <c r="C8" s="4"/>
      <c r="D8" s="3"/>
      <c r="E8" s="4"/>
      <c r="F8" s="4"/>
      <c r="G8" s="19"/>
      <c r="I8" s="79" t="s">
        <v>3</v>
      </c>
      <c r="J8" s="80">
        <f>B4*(1+E5*J9)</f>
        <v>556.2562499999999</v>
      </c>
      <c r="K8" s="77">
        <v>250</v>
      </c>
      <c r="L8" s="77">
        <f t="shared" si="0"/>
        <v>0.6432548955250219</v>
      </c>
      <c r="M8" s="77">
        <f t="shared" si="1"/>
        <v>1327.3318469391656</v>
      </c>
      <c r="N8" s="78">
        <f t="shared" si="2"/>
        <v>666.3133344028034</v>
      </c>
      <c r="O8" s="67"/>
      <c r="P8" s="5"/>
      <c r="R8" s="6">
        <f>LN(R5)</f>
        <v>-5.259836845979972</v>
      </c>
      <c r="T8" s="3"/>
      <c r="V8" s="12">
        <v>200</v>
      </c>
      <c r="W8" s="12">
        <f t="shared" si="3"/>
        <v>1316.7775052607008</v>
      </c>
      <c r="X8" s="12">
        <f t="shared" si="4"/>
        <v>353.53536946661984</v>
      </c>
      <c r="Y8" s="12">
        <v>459.884503081075</v>
      </c>
      <c r="Z8" s="12">
        <v>734.0054331322693</v>
      </c>
      <c r="AA8" s="12">
        <v>878.6089451132946</v>
      </c>
    </row>
    <row r="9" spans="1:27" ht="25.5">
      <c r="A9" s="20"/>
      <c r="B9" s="4"/>
      <c r="C9" s="4"/>
      <c r="D9" s="3"/>
      <c r="E9" s="4"/>
      <c r="F9" s="4"/>
      <c r="G9" s="19"/>
      <c r="I9" s="70" t="s">
        <v>49</v>
      </c>
      <c r="J9" s="71">
        <f>IF(E4=2,0.00035*B5,0.0007*B5)</f>
        <v>0.2275</v>
      </c>
      <c r="K9" s="77">
        <v>300</v>
      </c>
      <c r="L9" s="77">
        <f t="shared" si="0"/>
        <v>0.7874934673817702</v>
      </c>
      <c r="M9" s="77">
        <f t="shared" si="1"/>
        <v>1272.6182776813275</v>
      </c>
      <c r="N9" s="78">
        <f t="shared" si="2"/>
        <v>638.8014137940489</v>
      </c>
      <c r="O9" s="67"/>
      <c r="P9" s="5"/>
      <c r="R9" s="6">
        <f>LN(B3/M25)</f>
        <v>-3.6331234999177067</v>
      </c>
      <c r="T9" s="3"/>
      <c r="V9" s="12">
        <v>250</v>
      </c>
      <c r="W9" s="12">
        <f t="shared" si="3"/>
        <v>1246.9128757029894</v>
      </c>
      <c r="X9" s="12">
        <f t="shared" si="4"/>
        <v>334.77774524790726</v>
      </c>
      <c r="Y9" s="12">
        <v>435.4842833638265</v>
      </c>
      <c r="Z9" s="12">
        <v>695.0611031492167</v>
      </c>
      <c r="AA9" s="12">
        <v>831.9923464615133</v>
      </c>
    </row>
    <row r="10" spans="1:27" ht="26.25">
      <c r="A10" s="21"/>
      <c r="B10" s="4"/>
      <c r="C10" s="4"/>
      <c r="D10" s="3"/>
      <c r="E10" s="4"/>
      <c r="F10" s="4"/>
      <c r="G10" s="19"/>
      <c r="I10" s="81"/>
      <c r="J10" s="71"/>
      <c r="K10" s="77">
        <v>350</v>
      </c>
      <c r="L10" s="77">
        <f t="shared" si="0"/>
        <v>0.9374713301998341</v>
      </c>
      <c r="M10" s="77">
        <f t="shared" si="1"/>
        <v>1220.0652719508514</v>
      </c>
      <c r="N10" s="78">
        <f t="shared" si="2"/>
        <v>612.4423793940468</v>
      </c>
      <c r="O10" s="67"/>
      <c r="P10" s="5"/>
      <c r="T10" s="2"/>
      <c r="V10" s="12">
        <v>300</v>
      </c>
      <c r="W10" s="12">
        <f t="shared" si="3"/>
        <v>1180.6633177015133</v>
      </c>
      <c r="X10" s="12">
        <f t="shared" si="4"/>
        <v>316.99071450696596</v>
      </c>
      <c r="Y10" s="12">
        <v>412.34662727604444</v>
      </c>
      <c r="Z10" s="12">
        <v>658.1319064387463</v>
      </c>
      <c r="AA10" s="12">
        <v>787.7878745310979</v>
      </c>
    </row>
    <row r="11" spans="1:27" ht="25.5">
      <c r="A11" s="20"/>
      <c r="B11" s="4"/>
      <c r="C11" s="4"/>
      <c r="D11" s="3"/>
      <c r="E11" s="4"/>
      <c r="F11" s="4"/>
      <c r="G11" s="19"/>
      <c r="I11" s="81"/>
      <c r="J11" s="71"/>
      <c r="K11" s="77">
        <v>400</v>
      </c>
      <c r="L11" s="77">
        <f t="shared" si="0"/>
        <v>1.093443503756239</v>
      </c>
      <c r="M11" s="77">
        <f t="shared" si="1"/>
        <v>1169.5916588817358</v>
      </c>
      <c r="N11" s="78">
        <f t="shared" si="2"/>
        <v>587.1834587801376</v>
      </c>
      <c r="O11" s="67"/>
      <c r="P11" s="5"/>
      <c r="T11" s="2"/>
      <c r="V11" s="12">
        <v>350</v>
      </c>
      <c r="W11" s="12">
        <f t="shared" si="3"/>
        <v>1117.8468268072302</v>
      </c>
      <c r="X11" s="12">
        <f t="shared" si="4"/>
        <v>300.12541172940206</v>
      </c>
      <c r="Y11" s="12">
        <v>390.4079697695169</v>
      </c>
      <c r="Z11" s="12">
        <v>623.1163890696378</v>
      </c>
      <c r="AA11" s="12">
        <v>745.8740883524542</v>
      </c>
    </row>
    <row r="12" spans="1:27" ht="25.5">
      <c r="A12" s="20"/>
      <c r="B12" s="4"/>
      <c r="C12" s="4"/>
      <c r="D12" s="3"/>
      <c r="E12" s="4"/>
      <c r="F12" s="4"/>
      <c r="G12" s="19"/>
      <c r="I12" s="77"/>
      <c r="J12" s="71"/>
      <c r="K12" s="77">
        <v>450</v>
      </c>
      <c r="L12" s="77">
        <f t="shared" si="0"/>
        <v>1.2556770504611432</v>
      </c>
      <c r="M12" s="77">
        <f t="shared" si="1"/>
        <v>1121.1191493206668</v>
      </c>
      <c r="N12" s="78">
        <f t="shared" si="2"/>
        <v>562.9748103730633</v>
      </c>
      <c r="O12" s="67"/>
      <c r="P12" s="5"/>
      <c r="T12" s="2"/>
      <c r="V12" s="12">
        <v>400</v>
      </c>
      <c r="W12" s="12">
        <f t="shared" si="3"/>
        <v>1058.2902967789444</v>
      </c>
      <c r="X12" s="12">
        <f t="shared" si="4"/>
        <v>284.1353604385948</v>
      </c>
      <c r="Y12" s="12">
        <v>369.6078534948478</v>
      </c>
      <c r="Z12" s="12">
        <v>589.9180571991278</v>
      </c>
      <c r="AA12" s="12">
        <v>706.1354842118857</v>
      </c>
    </row>
    <row r="13" spans="1:27" ht="25.5">
      <c r="A13" s="20"/>
      <c r="B13" s="4"/>
      <c r="C13" s="4"/>
      <c r="D13" s="3"/>
      <c r="E13" s="4"/>
      <c r="F13" s="4"/>
      <c r="G13" s="19"/>
      <c r="I13" s="77"/>
      <c r="J13" s="71"/>
      <c r="K13" s="77">
        <v>500</v>
      </c>
      <c r="L13" s="77">
        <f t="shared" si="0"/>
        <v>1.4244516664945364</v>
      </c>
      <c r="M13" s="77">
        <f t="shared" si="1"/>
        <v>1074.5722396106337</v>
      </c>
      <c r="N13" s="78">
        <f t="shared" si="2"/>
        <v>539.7693137431585</v>
      </c>
      <c r="O13" s="67"/>
      <c r="P13" s="5"/>
      <c r="T13" s="3"/>
      <c r="V13" s="12">
        <v>450</v>
      </c>
      <c r="W13" s="12">
        <f t="shared" si="3"/>
        <v>1001.8290976255037</v>
      </c>
      <c r="X13" s="12">
        <f t="shared" si="4"/>
        <v>268.97635990623974</v>
      </c>
      <c r="Y13" s="12">
        <v>349.88878143270705</v>
      </c>
      <c r="Z13" s="12">
        <v>558.4451418628474</v>
      </c>
      <c r="AA13" s="12">
        <v>668.4622141037252</v>
      </c>
    </row>
    <row r="14" spans="1:27" ht="25.5">
      <c r="A14" s="20"/>
      <c r="B14" s="4"/>
      <c r="C14" s="4"/>
      <c r="D14" s="3"/>
      <c r="E14" s="4"/>
      <c r="F14" s="4"/>
      <c r="G14" s="19"/>
      <c r="I14" s="82"/>
      <c r="J14" s="71"/>
      <c r="K14" s="77">
        <v>550</v>
      </c>
      <c r="L14" s="77">
        <f t="shared" si="0"/>
        <v>1.6000603027501095</v>
      </c>
      <c r="M14" s="77">
        <f t="shared" si="1"/>
        <v>1029.8781184001114</v>
      </c>
      <c r="N14" s="78">
        <f t="shared" si="2"/>
        <v>517.5223786600517</v>
      </c>
      <c r="O14" s="67"/>
      <c r="P14" s="5"/>
      <c r="T14" s="3"/>
      <c r="V14" s="12">
        <v>500</v>
      </c>
      <c r="W14" s="12">
        <f t="shared" si="3"/>
        <v>948.3066730597759</v>
      </c>
      <c r="X14" s="12">
        <f t="shared" si="4"/>
        <v>254.60637707466975</v>
      </c>
      <c r="Y14" s="12">
        <v>331.1960763046445</v>
      </c>
      <c r="Z14" s="12">
        <v>528.6103745853807</v>
      </c>
      <c r="AA14" s="12">
        <v>632.749817134816</v>
      </c>
    </row>
    <row r="15" spans="1:27" ht="25.5">
      <c r="A15" s="20"/>
      <c r="B15" s="4"/>
      <c r="C15" s="4"/>
      <c r="D15" s="3"/>
      <c r="E15" s="4"/>
      <c r="F15" s="4"/>
      <c r="G15" s="19"/>
      <c r="I15" s="81"/>
      <c r="J15" s="71"/>
      <c r="K15" s="77">
        <v>600</v>
      </c>
      <c r="L15" s="77">
        <f t="shared" si="0"/>
        <v>1.782809817119249</v>
      </c>
      <c r="M15" s="77">
        <f t="shared" si="1"/>
        <v>986.9665763869106</v>
      </c>
      <c r="N15" s="78">
        <f t="shared" si="2"/>
        <v>496.1917709050618</v>
      </c>
      <c r="O15" s="67"/>
      <c r="P15" s="5"/>
      <c r="T15" s="31"/>
      <c r="V15" s="12">
        <v>550</v>
      </c>
      <c r="W15" s="12">
        <f t="shared" si="3"/>
        <v>897.5741564961371</v>
      </c>
      <c r="X15" s="12">
        <f t="shared" si="4"/>
        <v>240.98544345783486</v>
      </c>
      <c r="Y15" s="12">
        <v>313.47774646022464</v>
      </c>
      <c r="Z15" s="12">
        <v>500.33077332745125</v>
      </c>
      <c r="AA15" s="12">
        <v>598.898963301999</v>
      </c>
    </row>
    <row r="16" spans="1:27" ht="25.5" customHeight="1">
      <c r="A16" s="58" t="s">
        <v>54</v>
      </c>
      <c r="B16" s="59"/>
      <c r="C16" s="59"/>
      <c r="D16" s="59"/>
      <c r="E16" s="59"/>
      <c r="F16" s="59"/>
      <c r="G16" s="60"/>
      <c r="I16" s="81"/>
      <c r="J16" s="71"/>
      <c r="K16" s="77">
        <v>650</v>
      </c>
      <c r="L16" s="77">
        <f t="shared" si="0"/>
        <v>1.9730216597281807</v>
      </c>
      <c r="M16" s="77">
        <f t="shared" si="1"/>
        <v>945.7699189084793</v>
      </c>
      <c r="N16" s="78">
        <f t="shared" si="2"/>
        <v>475.73745310487953</v>
      </c>
      <c r="O16" s="67"/>
      <c r="P16" s="5"/>
      <c r="T16" s="2"/>
      <c r="V16" s="12">
        <v>600</v>
      </c>
      <c r="W16" s="12">
        <f t="shared" si="3"/>
        <v>849.4900047611451</v>
      </c>
      <c r="X16" s="12">
        <f t="shared" si="4"/>
        <v>228.07555679801243</v>
      </c>
      <c r="Y16" s="12">
        <v>296.6843579504902</v>
      </c>
      <c r="Z16" s="12">
        <v>473.52743830689064</v>
      </c>
      <c r="AA16" s="12">
        <v>566.8152090885758</v>
      </c>
    </row>
    <row r="17" spans="1:27" ht="25.5">
      <c r="A17" s="58"/>
      <c r="B17" s="59"/>
      <c r="C17" s="59"/>
      <c r="D17" s="59"/>
      <c r="E17" s="59"/>
      <c r="F17" s="59"/>
      <c r="G17" s="60"/>
      <c r="I17" s="81"/>
      <c r="J17" s="71"/>
      <c r="K17" s="77">
        <v>700</v>
      </c>
      <c r="L17" s="77">
        <f t="shared" si="0"/>
        <v>2.171032592825507</v>
      </c>
      <c r="M17" s="77">
        <f t="shared" si="1"/>
        <v>906.2228812930571</v>
      </c>
      <c r="N17" s="78">
        <f t="shared" si="2"/>
        <v>456.1214390520981</v>
      </c>
      <c r="O17" s="67"/>
      <c r="P17" s="5"/>
      <c r="T17" s="2"/>
      <c r="V17" s="12">
        <v>650</v>
      </c>
      <c r="W17" s="12">
        <f t="shared" si="3"/>
        <v>803.9196487233773</v>
      </c>
      <c r="X17" s="12">
        <f t="shared" si="4"/>
        <v>215.84058726506314</v>
      </c>
      <c r="Y17" s="12">
        <v>280.7689125104443</v>
      </c>
      <c r="Z17" s="12">
        <v>448.1253572507815</v>
      </c>
      <c r="AA17" s="12">
        <v>536.408764349946</v>
      </c>
    </row>
    <row r="18" spans="1:27" ht="25.5">
      <c r="A18" s="20"/>
      <c r="B18" s="4"/>
      <c r="C18" s="4"/>
      <c r="D18" s="3"/>
      <c r="E18" s="4"/>
      <c r="F18" s="4"/>
      <c r="G18" s="19"/>
      <c r="I18" s="81"/>
      <c r="J18" s="71"/>
      <c r="K18" s="77">
        <v>750</v>
      </c>
      <c r="L18" s="77">
        <f t="shared" si="0"/>
        <v>2.377195447106158</v>
      </c>
      <c r="M18" s="77">
        <f t="shared" si="1"/>
        <v>868.2625468886083</v>
      </c>
      <c r="N18" s="78">
        <f t="shared" si="2"/>
        <v>437.3076601575209</v>
      </c>
      <c r="O18" s="67"/>
      <c r="P18" s="5"/>
      <c r="T18" s="2"/>
      <c r="V18" s="12">
        <v>700</v>
      </c>
      <c r="W18" s="12">
        <f t="shared" si="3"/>
        <v>760.7351600831566</v>
      </c>
      <c r="X18" s="12">
        <f t="shared" si="4"/>
        <v>204.24618799437937</v>
      </c>
      <c r="Y18" s="12">
        <v>265.68673118537197</v>
      </c>
      <c r="Z18" s="12">
        <v>424.0532196555352</v>
      </c>
      <c r="AA18" s="12">
        <v>507.59426998179566</v>
      </c>
    </row>
    <row r="19" spans="1:27" ht="25.5">
      <c r="A19" s="20"/>
      <c r="B19" s="4"/>
      <c r="C19" s="4"/>
      <c r="D19" s="3"/>
      <c r="E19" s="4"/>
      <c r="F19" s="4"/>
      <c r="G19" s="19"/>
      <c r="I19" s="81"/>
      <c r="J19" s="71"/>
      <c r="K19" s="77">
        <v>800</v>
      </c>
      <c r="L19" s="77">
        <f t="shared" si="0"/>
        <v>2.59187991635112</v>
      </c>
      <c r="M19" s="77">
        <f t="shared" si="1"/>
        <v>831.828267688923</v>
      </c>
      <c r="N19" s="78">
        <f t="shared" si="2"/>
        <v>419.26184283501925</v>
      </c>
      <c r="O19" s="67"/>
      <c r="P19" s="5"/>
      <c r="T19" s="2"/>
      <c r="V19" s="12">
        <v>750</v>
      </c>
      <c r="W19" s="12">
        <f t="shared" si="3"/>
        <v>719.8149335961315</v>
      </c>
      <c r="X19" s="12">
        <f t="shared" si="4"/>
        <v>193.25970976859588</v>
      </c>
      <c r="Y19" s="12">
        <v>251.3953433474359</v>
      </c>
      <c r="Z19" s="12">
        <v>401.24323965019414</v>
      </c>
      <c r="AA19" s="12">
        <v>480.29058588639936</v>
      </c>
    </row>
    <row r="20" spans="1:27" ht="25.5">
      <c r="A20" s="20"/>
      <c r="B20" s="4"/>
      <c r="C20" s="4"/>
      <c r="D20" s="3"/>
      <c r="E20" s="4"/>
      <c r="F20" s="4"/>
      <c r="G20" s="19"/>
      <c r="I20" s="81"/>
      <c r="J20" s="71"/>
      <c r="K20" s="77">
        <v>850</v>
      </c>
      <c r="L20" s="77">
        <f t="shared" si="0"/>
        <v>2.8154733923608246</v>
      </c>
      <c r="M20" s="77">
        <f t="shared" si="1"/>
        <v>796.8615874786543</v>
      </c>
      <c r="N20" s="78">
        <f t="shared" si="2"/>
        <v>401.9513957554251</v>
      </c>
      <c r="O20" s="67"/>
      <c r="P20" s="5"/>
      <c r="T20" s="2"/>
      <c r="V20" s="12">
        <v>800</v>
      </c>
      <c r="W20" s="12">
        <f t="shared" si="3"/>
        <v>681.0433840365048</v>
      </c>
      <c r="X20" s="12">
        <f t="shared" si="4"/>
        <v>182.85011965667928</v>
      </c>
      <c r="Y20" s="12">
        <v>237.85438086009293</v>
      </c>
      <c r="Z20" s="12">
        <v>379.6309870759913</v>
      </c>
      <c r="AA20" s="12">
        <v>454.42058877382937</v>
      </c>
    </row>
    <row r="21" spans="1:27" ht="25.5">
      <c r="A21" s="20"/>
      <c r="B21" s="4"/>
      <c r="C21" s="4"/>
      <c r="D21" s="3"/>
      <c r="E21" s="4"/>
      <c r="F21" s="4"/>
      <c r="G21" s="19"/>
      <c r="I21" s="81"/>
      <c r="J21" s="71"/>
      <c r="K21" s="77">
        <v>900</v>
      </c>
      <c r="L21" s="77">
        <f t="shared" si="0"/>
        <v>3.048381842263403</v>
      </c>
      <c r="M21" s="77">
        <f t="shared" si="1"/>
        <v>763.3061674213744</v>
      </c>
      <c r="N21" s="78">
        <f t="shared" si="2"/>
        <v>385.3453060244228</v>
      </c>
      <c r="O21" s="67"/>
      <c r="P21" s="5"/>
      <c r="T21" s="2"/>
      <c r="V21" s="12">
        <v>850</v>
      </c>
      <c r="W21" s="12">
        <f t="shared" si="3"/>
        <v>644.3106572361555</v>
      </c>
      <c r="X21" s="12">
        <f t="shared" si="4"/>
        <v>172.98792343218742</v>
      </c>
      <c r="Y21" s="12">
        <v>225.02547715851657</v>
      </c>
      <c r="Z21" s="12">
        <v>359.1552264121716</v>
      </c>
      <c r="AA21" s="12">
        <v>429.9109793551903</v>
      </c>
    </row>
    <row r="22" spans="1:27" ht="25.5">
      <c r="A22" s="20"/>
      <c r="C22" s="4"/>
      <c r="D22" s="3"/>
      <c r="E22" s="4"/>
      <c r="F22" s="4"/>
      <c r="G22" s="19"/>
      <c r="I22" s="81"/>
      <c r="J22" s="71"/>
      <c r="K22" s="77">
        <v>950</v>
      </c>
      <c r="L22" s="77">
        <f t="shared" si="0"/>
        <v>3.291030730388364</v>
      </c>
      <c r="M22" s="77">
        <f t="shared" si="1"/>
        <v>731.1077140169692</v>
      </c>
      <c r="N22" s="78">
        <f t="shared" si="2"/>
        <v>369.4140434430364</v>
      </c>
      <c r="O22" s="67"/>
      <c r="P22" s="5"/>
      <c r="T22" s="2"/>
      <c r="V22" s="12">
        <v>900</v>
      </c>
      <c r="W22" s="12">
        <f t="shared" si="3"/>
        <v>609.5123545650277</v>
      </c>
      <c r="X22" s="12">
        <f t="shared" si="4"/>
        <v>163.64509160031108</v>
      </c>
      <c r="Y22" s="12">
        <v>212.87217102438112</v>
      </c>
      <c r="Z22" s="12">
        <v>339.7577631943199</v>
      </c>
      <c r="AA22" s="12">
        <v>406.69209850442763</v>
      </c>
    </row>
    <row r="23" spans="1:27" ht="25.5">
      <c r="A23" s="20"/>
      <c r="B23" s="4"/>
      <c r="C23" s="4"/>
      <c r="D23" s="3"/>
      <c r="E23" s="4"/>
      <c r="F23" s="4"/>
      <c r="G23" s="19"/>
      <c r="I23" s="81"/>
      <c r="J23" s="71"/>
      <c r="K23" s="77">
        <v>1000</v>
      </c>
      <c r="L23" s="77">
        <f t="shared" si="0"/>
        <v>3.543865987010804</v>
      </c>
      <c r="M23" s="77">
        <f t="shared" si="1"/>
        <v>700.213909356871</v>
      </c>
      <c r="N23" s="78">
        <f t="shared" si="2"/>
        <v>354.1294721001895</v>
      </c>
      <c r="O23" s="67"/>
      <c r="P23" s="5"/>
      <c r="T23" s="2"/>
      <c r="V23" s="12">
        <v>950</v>
      </c>
      <c r="W23" s="12">
        <f t="shared" si="3"/>
        <v>576.549270246064</v>
      </c>
      <c r="X23" s="12">
        <f t="shared" si="4"/>
        <v>154.79498887080175</v>
      </c>
      <c r="Y23" s="12">
        <v>201.35981484311043</v>
      </c>
      <c r="Z23" s="12">
        <v>321.38329758699143</v>
      </c>
      <c r="AA23" s="12">
        <v>384.6977519838806</v>
      </c>
    </row>
    <row r="24" spans="1:27" ht="26.25" thickBot="1">
      <c r="A24" s="22"/>
      <c r="B24" s="23"/>
      <c r="C24" s="23"/>
      <c r="D24" s="24"/>
      <c r="E24" s="23"/>
      <c r="F24" s="23"/>
      <c r="G24" s="25"/>
      <c r="I24" s="81"/>
      <c r="J24" s="71" t="s">
        <v>13</v>
      </c>
      <c r="K24" s="71">
        <f>ROUNDDOWN(B5/100,0)*100+1</f>
        <v>601</v>
      </c>
      <c r="L24" s="77">
        <f t="shared" si="0"/>
        <v>1.7865398268094026</v>
      </c>
      <c r="M24" s="77">
        <f t="shared" si="1"/>
        <v>986.1260587831739</v>
      </c>
      <c r="N24" s="78">
        <f t="shared" si="2"/>
        <v>495.77422676779355</v>
      </c>
      <c r="O24" s="68">
        <f>N24</f>
        <v>495.77422676779355</v>
      </c>
      <c r="P24" s="5"/>
      <c r="T24" s="2"/>
      <c r="V24" s="12">
        <v>1000</v>
      </c>
      <c r="W24" s="12">
        <f t="shared" si="3"/>
        <v>545.3271409246208</v>
      </c>
      <c r="X24" s="12">
        <f t="shared" si="4"/>
        <v>146.41230692104773</v>
      </c>
      <c r="Y24" s="12">
        <v>190.4554871410039</v>
      </c>
      <c r="Z24" s="12">
        <v>303.9792847873041</v>
      </c>
      <c r="AA24" s="12">
        <v>363.8650433465372</v>
      </c>
    </row>
    <row r="25" spans="1:14" ht="25.5">
      <c r="A25" s="4"/>
      <c r="B25" s="4"/>
      <c r="C25" s="4"/>
      <c r="D25" s="3"/>
      <c r="E25" s="4"/>
      <c r="F25" s="4"/>
      <c r="G25" s="4"/>
      <c r="J25" s="71" t="s">
        <v>14</v>
      </c>
      <c r="K25" s="71">
        <f>MIN(B5,800)</f>
        <v>650</v>
      </c>
      <c r="L25" s="71">
        <f t="shared" si="0"/>
        <v>1.9730216597281807</v>
      </c>
      <c r="M25" s="71">
        <f t="shared" si="1"/>
        <v>945.7699189084793</v>
      </c>
      <c r="N25" s="80">
        <f>MIN(J8,1200)</f>
        <v>556.2562499999999</v>
      </c>
    </row>
    <row r="26" spans="10:22" ht="30">
      <c r="J26" s="83" t="s">
        <v>15</v>
      </c>
      <c r="K26" s="81" t="str">
        <f>IF(J8&gt;N24,"Left Turn Lane WARRANTED","Left Turn Lane NOT Warranted")</f>
        <v>Left Turn Lane WARRANTED</v>
      </c>
      <c r="U26" s="26" t="s">
        <v>21</v>
      </c>
      <c r="V26" s="15" t="str">
        <f>IF(J8&gt;N24,"Storage Length (L) = "&amp;R6&amp;" ft","Left Turn Lane NOT Warranted")</f>
        <v>Storage Length (L) = 75 ft</v>
      </c>
    </row>
  </sheetData>
  <sheetProtection sheet="1" objects="1" scenarios="1"/>
  <mergeCells count="3">
    <mergeCell ref="A1:G1"/>
    <mergeCell ref="A2:B2"/>
    <mergeCell ref="A16:G17"/>
  </mergeCells>
  <printOptions horizontalCentered="1"/>
  <pageMargins left="0.75" right="0.75" top="1" bottom="1" header="0.5" footer="0.5"/>
  <pageSetup horizontalDpi="600" verticalDpi="600" orientation="portrait" scale="105" r:id="rId2"/>
  <drawing r:id="rId1"/>
</worksheet>
</file>

<file path=xl/worksheets/sheet2.xml><?xml version="1.0" encoding="utf-8"?>
<worksheet xmlns="http://schemas.openxmlformats.org/spreadsheetml/2006/main" xmlns:r="http://schemas.openxmlformats.org/officeDocument/2006/relationships">
  <dimension ref="A1:Z26"/>
  <sheetViews>
    <sheetView zoomScale="115" zoomScaleNormal="115" workbookViewId="0" topLeftCell="A1">
      <selection activeCell="E3" activeCellId="1" sqref="B3:B4 E3"/>
    </sheetView>
  </sheetViews>
  <sheetFormatPr defaultColWidth="9.140625" defaultRowHeight="12.75"/>
  <cols>
    <col min="1" max="1" width="27.7109375" style="1" bestFit="1" customWidth="1"/>
    <col min="2" max="2" width="8.421875" style="1" bestFit="1" customWidth="1"/>
    <col min="3" max="3" width="5.7109375" style="1" customWidth="1"/>
    <col min="4" max="4" width="15.00390625" style="2" customWidth="1"/>
    <col min="5" max="5" width="8.421875" style="1" customWidth="1"/>
    <col min="6" max="6" width="10.57421875" style="1" bestFit="1" customWidth="1"/>
    <col min="7" max="7" width="9.140625" style="1" customWidth="1"/>
    <col min="8" max="8" width="13.7109375" style="1" customWidth="1"/>
    <col min="9" max="9" width="9.140625" style="1" customWidth="1"/>
    <col min="10" max="10" width="13.7109375" style="1" customWidth="1"/>
    <col min="11" max="12" width="9.140625" style="1" customWidth="1"/>
    <col min="13" max="13" width="10.8515625" style="1" customWidth="1"/>
    <col min="14" max="19" width="9.140625" style="1" customWidth="1"/>
    <col min="20" max="20" width="9.57421875" style="1" customWidth="1"/>
    <col min="21" max="21" width="9.140625" style="1" customWidth="1"/>
    <col min="22" max="22" width="10.7109375" style="1" customWidth="1"/>
    <col min="23" max="16384" width="9.140625" style="1" customWidth="1"/>
  </cols>
  <sheetData>
    <row r="1" spans="1:18" s="5" customFormat="1" ht="25.5">
      <c r="A1" s="53" t="s">
        <v>24</v>
      </c>
      <c r="B1" s="54"/>
      <c r="C1" s="54"/>
      <c r="D1" s="54"/>
      <c r="E1" s="54"/>
      <c r="F1" s="54"/>
      <c r="G1" s="55"/>
      <c r="H1" s="1"/>
      <c r="I1" s="6" t="s">
        <v>2</v>
      </c>
      <c r="J1" s="5">
        <f>IF(E3&lt;=45,0.03,0.015)</f>
        <v>0.03</v>
      </c>
      <c r="K1" s="7"/>
      <c r="M1" s="5" t="s">
        <v>3</v>
      </c>
      <c r="N1" s="5" t="s">
        <v>3</v>
      </c>
      <c r="O1" s="5" t="s">
        <v>3</v>
      </c>
      <c r="P1" s="5" t="s">
        <v>3</v>
      </c>
      <c r="Q1" s="5" t="s">
        <v>3</v>
      </c>
      <c r="R1" s="5" t="s">
        <v>3</v>
      </c>
    </row>
    <row r="2" spans="1:24" s="5" customFormat="1" ht="25.5">
      <c r="A2" s="56" t="s">
        <v>12</v>
      </c>
      <c r="B2" s="57"/>
      <c r="C2" s="17"/>
      <c r="D2" s="17"/>
      <c r="E2" s="17"/>
      <c r="F2" s="17"/>
      <c r="G2" s="18"/>
      <c r="H2" s="1"/>
      <c r="I2" s="8" t="s">
        <v>1</v>
      </c>
      <c r="J2" s="9">
        <f>J1</f>
        <v>0.03</v>
      </c>
      <c r="K2" s="5" t="s">
        <v>5</v>
      </c>
      <c r="L2" s="10" t="s">
        <v>0</v>
      </c>
      <c r="M2" s="7">
        <v>0.01</v>
      </c>
      <c r="N2" s="7">
        <v>0.05</v>
      </c>
      <c r="O2" s="7">
        <v>0.1</v>
      </c>
      <c r="P2" s="7">
        <v>0.15</v>
      </c>
      <c r="Q2" s="7">
        <v>0.2</v>
      </c>
      <c r="R2" s="5">
        <v>0.25</v>
      </c>
      <c r="S2" s="7">
        <f aca="true" t="shared" si="0" ref="S2:X2">R2+0.05</f>
        <v>0.3</v>
      </c>
      <c r="T2" s="7">
        <f t="shared" si="0"/>
        <v>0.35</v>
      </c>
      <c r="U2" s="7">
        <f t="shared" si="0"/>
        <v>0.39999999999999997</v>
      </c>
      <c r="V2" s="7">
        <f t="shared" si="0"/>
        <v>0.44999999999999996</v>
      </c>
      <c r="W2" s="7">
        <f t="shared" si="0"/>
        <v>0.49999999999999994</v>
      </c>
      <c r="X2" s="7">
        <f t="shared" si="0"/>
        <v>0.5499999999999999</v>
      </c>
    </row>
    <row r="3" spans="1:24" s="5" customFormat="1" ht="25.5">
      <c r="A3" s="33" t="s">
        <v>23</v>
      </c>
      <c r="B3" s="64">
        <v>20</v>
      </c>
      <c r="C3" s="4"/>
      <c r="D3" s="61" t="s">
        <v>18</v>
      </c>
      <c r="E3" s="64">
        <v>45</v>
      </c>
      <c r="F3" s="4"/>
      <c r="G3" s="19"/>
      <c r="H3" s="1"/>
      <c r="I3" s="11" t="s">
        <v>6</v>
      </c>
      <c r="J3" s="5">
        <v>2.1</v>
      </c>
      <c r="K3" s="12">
        <v>0</v>
      </c>
      <c r="L3" s="12">
        <v>1700</v>
      </c>
      <c r="M3" s="13">
        <f aca="true" t="shared" si="1" ref="M3:X3">SQRT(2400*$J$2*$L3/(M$2*(1-M$2))/($K3+$J$3))</f>
        <v>2426.4059609731194</v>
      </c>
      <c r="N3" s="13">
        <f t="shared" si="1"/>
        <v>1107.7308649545396</v>
      </c>
      <c r="O3" s="13">
        <f t="shared" si="1"/>
        <v>804.7478161629564</v>
      </c>
      <c r="P3" s="13">
        <f t="shared" si="1"/>
        <v>676.1234037828133</v>
      </c>
      <c r="Q3" s="13">
        <f t="shared" si="1"/>
        <v>603.5608621222173</v>
      </c>
      <c r="R3" s="13">
        <f t="shared" si="1"/>
        <v>557.5456419497357</v>
      </c>
      <c r="S3" s="13">
        <f t="shared" si="1"/>
        <v>526.8311118453079</v>
      </c>
      <c r="T3" s="13">
        <f t="shared" si="1"/>
        <v>506.1629598412231</v>
      </c>
      <c r="U3" s="13">
        <f t="shared" si="1"/>
        <v>492.8053803045811</v>
      </c>
      <c r="V3" s="13">
        <f t="shared" si="1"/>
        <v>485.2811921946239</v>
      </c>
      <c r="W3" s="13">
        <f t="shared" si="1"/>
        <v>482.8486896977739</v>
      </c>
      <c r="X3" s="13">
        <f t="shared" si="1"/>
        <v>485.2811921946239</v>
      </c>
    </row>
    <row r="4" spans="1:24" s="5" customFormat="1" ht="25.5">
      <c r="A4" s="33" t="s">
        <v>10</v>
      </c>
      <c r="B4" s="64">
        <v>550</v>
      </c>
      <c r="C4" s="4"/>
      <c r="D4" s="34"/>
      <c r="E4" s="35"/>
      <c r="F4" s="4"/>
      <c r="G4" s="19"/>
      <c r="H4" s="1"/>
      <c r="I4" s="6" t="s">
        <v>7</v>
      </c>
      <c r="J4" s="5">
        <v>0</v>
      </c>
      <c r="K4" s="12"/>
      <c r="L4" s="12"/>
      <c r="M4" s="13"/>
      <c r="N4" s="13"/>
      <c r="O4" s="13"/>
      <c r="P4" s="13"/>
      <c r="Q4" s="13"/>
      <c r="R4" s="13"/>
      <c r="S4" s="13"/>
      <c r="T4" s="13"/>
      <c r="U4" s="13"/>
      <c r="V4" s="13"/>
      <c r="W4" s="13"/>
      <c r="X4" s="13"/>
    </row>
    <row r="5" spans="1:18" s="5" customFormat="1" ht="25.5">
      <c r="A5" s="36"/>
      <c r="B5" s="37"/>
      <c r="C5" s="4"/>
      <c r="D5" s="3"/>
      <c r="E5" s="4"/>
      <c r="F5" s="4"/>
      <c r="G5" s="19"/>
      <c r="H5" s="1"/>
      <c r="I5" s="14" t="s">
        <v>8</v>
      </c>
      <c r="J5" s="5">
        <v>2.1</v>
      </c>
      <c r="K5" s="12"/>
      <c r="L5" s="12"/>
      <c r="M5" s="13"/>
      <c r="N5" s="13"/>
      <c r="O5" s="13"/>
      <c r="P5" s="13"/>
      <c r="Q5" s="13"/>
      <c r="R5" s="13"/>
    </row>
    <row r="6" spans="1:26" s="5" customFormat="1" ht="25.5">
      <c r="A6" s="20"/>
      <c r="B6" s="4"/>
      <c r="C6" s="4"/>
      <c r="D6" s="3"/>
      <c r="E6" s="4"/>
      <c r="F6" s="4"/>
      <c r="G6" s="19"/>
      <c r="H6" s="1"/>
      <c r="I6" s="14"/>
      <c r="K6" s="12"/>
      <c r="L6" s="12"/>
      <c r="M6" s="13"/>
      <c r="N6" s="13"/>
      <c r="O6" s="13"/>
      <c r="P6" s="13"/>
      <c r="Q6" s="13"/>
      <c r="R6" s="13"/>
      <c r="Z6" s="12"/>
    </row>
    <row r="7" spans="1:26" s="5" customFormat="1" ht="25.5">
      <c r="A7" s="20"/>
      <c r="B7" s="4"/>
      <c r="C7" s="4"/>
      <c r="D7" s="3"/>
      <c r="E7" s="4"/>
      <c r="F7" s="4"/>
      <c r="G7" s="19"/>
      <c r="H7" s="1"/>
      <c r="I7" s="12"/>
      <c r="K7" s="12"/>
      <c r="L7" s="12"/>
      <c r="M7" s="38">
        <f>B3/B4</f>
        <v>0.03636363636363636</v>
      </c>
      <c r="Q7" s="6"/>
      <c r="S7" s="12"/>
      <c r="U7" s="12"/>
      <c r="V7" s="12"/>
      <c r="W7" s="12"/>
      <c r="X7" s="12"/>
      <c r="Y7" s="12"/>
      <c r="Z7" s="12"/>
    </row>
    <row r="8" spans="1:26" s="5" customFormat="1" ht="25.5">
      <c r="A8" s="20"/>
      <c r="B8" s="4"/>
      <c r="C8" s="4"/>
      <c r="D8" s="3"/>
      <c r="E8" s="4"/>
      <c r="F8" s="4"/>
      <c r="G8" s="19"/>
      <c r="H8" s="1"/>
      <c r="I8" s="12"/>
      <c r="K8" s="12"/>
      <c r="L8" s="12"/>
      <c r="M8" s="13">
        <f>B4</f>
        <v>550</v>
      </c>
      <c r="Q8" s="6"/>
      <c r="S8" s="12"/>
      <c r="U8" s="12"/>
      <c r="V8" s="12"/>
      <c r="W8" s="12"/>
      <c r="X8" s="12"/>
      <c r="Y8" s="12"/>
      <c r="Z8" s="12"/>
    </row>
    <row r="9" spans="1:26" s="5" customFormat="1" ht="25.5">
      <c r="A9" s="20"/>
      <c r="B9" s="4"/>
      <c r="C9" s="4"/>
      <c r="D9" s="3"/>
      <c r="E9" s="4"/>
      <c r="F9" s="4"/>
      <c r="G9" s="19"/>
      <c r="H9" s="1"/>
      <c r="I9" s="15"/>
      <c r="K9" s="12"/>
      <c r="L9" s="12"/>
      <c r="M9" s="13">
        <f>SQRT(2400*$J$2*$L3/(M$7*(1-M$7))/($K3+$J$3))</f>
        <v>1289.706291393238</v>
      </c>
      <c r="N9" s="5" t="str">
        <f>IF(M8&gt;M9,"Right Turn Lane WARRANTED","Right Turn Lane NOT Warranted")</f>
        <v>Right Turn Lane NOT Warranted</v>
      </c>
      <c r="Q9" s="6"/>
      <c r="S9" s="12"/>
      <c r="U9" s="12"/>
      <c r="V9" s="12"/>
      <c r="W9" s="12"/>
      <c r="X9" s="12"/>
      <c r="Y9" s="12"/>
      <c r="Z9" s="12"/>
    </row>
    <row r="10" spans="1:26" s="5" customFormat="1" ht="26.25">
      <c r="A10" s="21"/>
      <c r="B10" s="4"/>
      <c r="C10" s="4"/>
      <c r="D10" s="3"/>
      <c r="E10" s="4"/>
      <c r="F10" s="4"/>
      <c r="G10" s="19"/>
      <c r="H10" s="1"/>
      <c r="I10" s="15"/>
      <c r="K10" s="12"/>
      <c r="L10" s="12"/>
      <c r="M10" s="13"/>
      <c r="S10" s="15"/>
      <c r="U10" s="12"/>
      <c r="V10" s="12"/>
      <c r="W10" s="12"/>
      <c r="X10" s="12"/>
      <c r="Y10" s="12"/>
      <c r="Z10" s="12"/>
    </row>
    <row r="11" spans="1:26" s="5" customFormat="1" ht="25.5">
      <c r="A11" s="20"/>
      <c r="B11" s="4"/>
      <c r="C11" s="4"/>
      <c r="D11" s="3"/>
      <c r="E11" s="4"/>
      <c r="F11" s="4"/>
      <c r="G11" s="19"/>
      <c r="H11" s="1"/>
      <c r="I11" s="15"/>
      <c r="K11" s="12"/>
      <c r="L11" s="12"/>
      <c r="M11" s="13"/>
      <c r="S11" s="15"/>
      <c r="U11" s="12"/>
      <c r="V11" s="12"/>
      <c r="W11" s="12"/>
      <c r="X11" s="12"/>
      <c r="Y11" s="12"/>
      <c r="Z11" s="12"/>
    </row>
    <row r="12" spans="1:26" s="5" customFormat="1" ht="25.5">
      <c r="A12" s="20"/>
      <c r="B12" s="4"/>
      <c r="C12" s="4"/>
      <c r="D12" s="3"/>
      <c r="E12" s="4"/>
      <c r="F12" s="4"/>
      <c r="G12" s="19"/>
      <c r="H12" s="1"/>
      <c r="I12" s="12"/>
      <c r="K12" s="12"/>
      <c r="L12" s="12"/>
      <c r="M12" s="13"/>
      <c r="S12" s="15"/>
      <c r="U12" s="12"/>
      <c r="V12" s="12"/>
      <c r="W12" s="12"/>
      <c r="X12" s="12"/>
      <c r="Y12" s="12"/>
      <c r="Z12" s="12"/>
    </row>
    <row r="13" spans="1:26" s="5" customFormat="1" ht="25.5">
      <c r="A13" s="20"/>
      <c r="B13" s="4"/>
      <c r="C13" s="4"/>
      <c r="D13" s="3"/>
      <c r="E13" s="4"/>
      <c r="F13" s="4"/>
      <c r="G13" s="19"/>
      <c r="H13" s="1"/>
      <c r="I13" s="12"/>
      <c r="K13" s="12"/>
      <c r="L13" s="12"/>
      <c r="M13" s="13"/>
      <c r="S13" s="12"/>
      <c r="U13" s="12"/>
      <c r="V13" s="12"/>
      <c r="W13" s="12"/>
      <c r="X13" s="12"/>
      <c r="Y13" s="12"/>
      <c r="Z13" s="12"/>
    </row>
    <row r="14" spans="1:26" s="5" customFormat="1" ht="25.5">
      <c r="A14" s="20"/>
      <c r="B14" s="4"/>
      <c r="C14" s="4"/>
      <c r="D14" s="3"/>
      <c r="E14" s="4"/>
      <c r="F14" s="4"/>
      <c r="G14" s="19"/>
      <c r="H14" s="1"/>
      <c r="I14" s="16"/>
      <c r="K14" s="12"/>
      <c r="L14" s="12"/>
      <c r="M14" s="13"/>
      <c r="S14" s="12"/>
      <c r="U14" s="12"/>
      <c r="V14" s="12"/>
      <c r="W14" s="12"/>
      <c r="X14" s="12"/>
      <c r="Y14" s="12"/>
      <c r="Z14" s="12"/>
    </row>
    <row r="15" spans="1:26" s="5" customFormat="1" ht="25.5">
      <c r="A15" s="20"/>
      <c r="B15" s="4"/>
      <c r="C15" s="4"/>
      <c r="D15" s="3"/>
      <c r="E15" s="4"/>
      <c r="F15" s="4"/>
      <c r="G15" s="19"/>
      <c r="H15" s="1"/>
      <c r="I15" s="15"/>
      <c r="K15" s="12"/>
      <c r="L15" s="12"/>
      <c r="M15" s="13"/>
      <c r="S15" s="16"/>
      <c r="U15" s="12"/>
      <c r="V15" s="12"/>
      <c r="W15" s="12"/>
      <c r="X15" s="12"/>
      <c r="Y15" s="12"/>
      <c r="Z15" s="12"/>
    </row>
    <row r="16" spans="1:26" s="5" customFormat="1" ht="25.5" customHeight="1">
      <c r="A16" s="58" t="s">
        <v>54</v>
      </c>
      <c r="B16" s="59"/>
      <c r="C16" s="59"/>
      <c r="D16" s="59"/>
      <c r="E16" s="59"/>
      <c r="F16" s="59"/>
      <c r="G16" s="60"/>
      <c r="H16" s="1"/>
      <c r="I16" s="15"/>
      <c r="K16" s="12"/>
      <c r="L16" s="12"/>
      <c r="M16" s="13"/>
      <c r="S16" s="15"/>
      <c r="U16" s="12"/>
      <c r="V16" s="12"/>
      <c r="W16" s="12"/>
      <c r="X16" s="12"/>
      <c r="Y16" s="12"/>
      <c r="Z16" s="12"/>
    </row>
    <row r="17" spans="1:26" s="5" customFormat="1" ht="25.5">
      <c r="A17" s="58"/>
      <c r="B17" s="59"/>
      <c r="C17" s="59"/>
      <c r="D17" s="59"/>
      <c r="E17" s="59"/>
      <c r="F17" s="59"/>
      <c r="G17" s="60"/>
      <c r="H17" s="1"/>
      <c r="I17" s="15"/>
      <c r="K17" s="12"/>
      <c r="L17" s="12"/>
      <c r="M17" s="13"/>
      <c r="S17" s="15"/>
      <c r="U17" s="12"/>
      <c r="V17" s="12"/>
      <c r="W17" s="12"/>
      <c r="X17" s="12"/>
      <c r="Y17" s="12"/>
      <c r="Z17" s="12"/>
    </row>
    <row r="18" spans="1:26" s="5" customFormat="1" ht="25.5">
      <c r="A18" s="20"/>
      <c r="B18" s="4"/>
      <c r="C18" s="4"/>
      <c r="D18" s="3"/>
      <c r="E18" s="4"/>
      <c r="F18" s="4"/>
      <c r="G18" s="19"/>
      <c r="H18" s="1"/>
      <c r="I18" s="15"/>
      <c r="K18" s="12"/>
      <c r="L18" s="12"/>
      <c r="M18" s="13"/>
      <c r="S18" s="15"/>
      <c r="U18" s="12"/>
      <c r="V18" s="12"/>
      <c r="W18" s="12"/>
      <c r="X18" s="12"/>
      <c r="Y18" s="12"/>
      <c r="Z18" s="12"/>
    </row>
    <row r="19" spans="1:26" s="5" customFormat="1" ht="25.5">
      <c r="A19" s="20"/>
      <c r="B19" s="4"/>
      <c r="C19" s="4"/>
      <c r="D19" s="3"/>
      <c r="E19" s="4"/>
      <c r="F19" s="4"/>
      <c r="G19" s="19"/>
      <c r="H19" s="1"/>
      <c r="I19" s="15"/>
      <c r="K19" s="12"/>
      <c r="L19" s="12"/>
      <c r="M19" s="13"/>
      <c r="S19" s="15"/>
      <c r="U19" s="12"/>
      <c r="V19" s="12"/>
      <c r="W19" s="12"/>
      <c r="X19" s="12"/>
      <c r="Y19" s="12"/>
      <c r="Z19" s="12"/>
    </row>
    <row r="20" spans="1:26" s="5" customFormat="1" ht="25.5">
      <c r="A20" s="20"/>
      <c r="B20" s="4"/>
      <c r="C20" s="4"/>
      <c r="D20" s="3"/>
      <c r="E20" s="4"/>
      <c r="F20" s="4"/>
      <c r="G20" s="19"/>
      <c r="H20" s="1"/>
      <c r="I20" s="15"/>
      <c r="K20" s="12"/>
      <c r="L20" s="12"/>
      <c r="M20" s="13"/>
      <c r="S20" s="15"/>
      <c r="U20" s="12"/>
      <c r="V20" s="12"/>
      <c r="W20" s="12"/>
      <c r="X20" s="12"/>
      <c r="Y20" s="12"/>
      <c r="Z20" s="12"/>
    </row>
    <row r="21" spans="1:26" s="5" customFormat="1" ht="25.5">
      <c r="A21" s="20"/>
      <c r="B21" s="4"/>
      <c r="C21" s="4"/>
      <c r="D21" s="3"/>
      <c r="E21" s="4"/>
      <c r="F21" s="4"/>
      <c r="G21" s="19"/>
      <c r="H21" s="1"/>
      <c r="I21" s="15"/>
      <c r="K21" s="12"/>
      <c r="L21" s="12"/>
      <c r="M21" s="13"/>
      <c r="S21" s="15"/>
      <c r="U21" s="12"/>
      <c r="V21" s="12"/>
      <c r="W21" s="12"/>
      <c r="X21" s="12"/>
      <c r="Y21" s="12"/>
      <c r="Z21" s="12"/>
    </row>
    <row r="22" spans="1:26" s="5" customFormat="1" ht="25.5">
      <c r="A22" s="20"/>
      <c r="B22" s="4"/>
      <c r="C22" s="4"/>
      <c r="D22" s="3"/>
      <c r="E22" s="4"/>
      <c r="F22" s="4"/>
      <c r="G22" s="19"/>
      <c r="H22" s="1"/>
      <c r="I22" s="15"/>
      <c r="K22" s="12"/>
      <c r="L22" s="12"/>
      <c r="M22" s="13"/>
      <c r="S22" s="15"/>
      <c r="U22" s="12"/>
      <c r="V22" s="12"/>
      <c r="W22" s="12"/>
      <c r="X22" s="12"/>
      <c r="Y22" s="12"/>
      <c r="Z22" s="12"/>
    </row>
    <row r="23" spans="1:26" s="5" customFormat="1" ht="25.5">
      <c r="A23" s="20"/>
      <c r="B23" s="4"/>
      <c r="C23" s="4"/>
      <c r="D23" s="3"/>
      <c r="E23" s="4"/>
      <c r="F23" s="4"/>
      <c r="G23" s="19"/>
      <c r="H23" s="1"/>
      <c r="I23" s="15"/>
      <c r="K23" s="12"/>
      <c r="L23" s="12"/>
      <c r="M23" s="13"/>
      <c r="S23" s="15"/>
      <c r="U23" s="12"/>
      <c r="V23" s="12"/>
      <c r="W23" s="12"/>
      <c r="X23" s="12"/>
      <c r="Y23" s="12"/>
      <c r="Z23" s="12"/>
    </row>
    <row r="24" spans="1:26" s="5" customFormat="1" ht="26.25" thickBot="1">
      <c r="A24" s="22"/>
      <c r="B24" s="23"/>
      <c r="C24" s="23"/>
      <c r="D24" s="24"/>
      <c r="E24" s="23"/>
      <c r="F24" s="23"/>
      <c r="G24" s="25"/>
      <c r="H24" s="1"/>
      <c r="I24" s="15"/>
      <c r="K24" s="12"/>
      <c r="L24" s="12"/>
      <c r="M24" s="13"/>
      <c r="N24" s="13"/>
      <c r="S24" s="15"/>
      <c r="U24" s="12"/>
      <c r="V24" s="12"/>
      <c r="W24" s="12"/>
      <c r="X24" s="12"/>
      <c r="Y24" s="12"/>
      <c r="Z24" s="12"/>
    </row>
    <row r="25" spans="1:8" s="5" customFormat="1" ht="25.5">
      <c r="A25" s="4"/>
      <c r="B25" s="4"/>
      <c r="C25" s="4"/>
      <c r="D25" s="3"/>
      <c r="E25" s="4"/>
      <c r="F25" s="4"/>
      <c r="G25" s="4"/>
      <c r="H25" s="1"/>
    </row>
    <row r="26" spans="1:21" s="5" customFormat="1" ht="25.5">
      <c r="A26" s="1"/>
      <c r="B26" s="1"/>
      <c r="C26" s="1"/>
      <c r="D26" s="2"/>
      <c r="E26" s="1"/>
      <c r="F26" s="1"/>
      <c r="G26" s="1"/>
      <c r="H26" s="1"/>
      <c r="J26" s="26"/>
      <c r="T26" s="26"/>
      <c r="U26" s="15"/>
    </row>
  </sheetData>
  <mergeCells count="3">
    <mergeCell ref="A1:G1"/>
    <mergeCell ref="A2:B2"/>
    <mergeCell ref="A16:G17"/>
  </mergeCells>
  <printOptions horizontalCentered="1"/>
  <pageMargins left="0.75" right="0.75" top="1" bottom="1" header="0.5" footer="0.5"/>
  <pageSetup horizontalDpi="600" verticalDpi="600" orientation="portrait" scale="105" r:id="rId2"/>
  <drawing r:id="rId1"/>
</worksheet>
</file>

<file path=xl/worksheets/sheet3.xml><?xml version="1.0" encoding="utf-8"?>
<worksheet xmlns="http://schemas.openxmlformats.org/spreadsheetml/2006/main" xmlns:r="http://schemas.openxmlformats.org/officeDocument/2006/relationships">
  <dimension ref="A1:Z30"/>
  <sheetViews>
    <sheetView zoomScale="115" zoomScaleNormal="115" workbookViewId="0" topLeftCell="A1">
      <selection activeCell="E18" sqref="E18"/>
    </sheetView>
  </sheetViews>
  <sheetFormatPr defaultColWidth="9.140625" defaultRowHeight="12.75"/>
  <cols>
    <col min="1" max="1" width="27.7109375" style="1" bestFit="1" customWidth="1"/>
    <col min="2" max="2" width="8.421875" style="1" bestFit="1" customWidth="1"/>
    <col min="3" max="3" width="5.7109375" style="1" customWidth="1"/>
    <col min="4" max="4" width="15.00390625" style="2" customWidth="1"/>
    <col min="5" max="5" width="8.421875" style="1" customWidth="1"/>
    <col min="6" max="6" width="10.57421875" style="1" bestFit="1" customWidth="1"/>
    <col min="7" max="7" width="9.140625" style="1" customWidth="1"/>
    <col min="8" max="8" width="13.7109375" style="1" hidden="1" customWidth="1"/>
    <col min="9" max="9" width="9.140625" style="1" hidden="1" customWidth="1"/>
    <col min="10" max="10" width="13.7109375" style="1" hidden="1" customWidth="1"/>
    <col min="11" max="12" width="9.140625" style="1" hidden="1" customWidth="1"/>
    <col min="13" max="13" width="10.8515625" style="1" hidden="1" customWidth="1"/>
    <col min="14" max="15" width="9.140625" style="1" hidden="1" customWidth="1"/>
    <col min="16" max="16" width="10.421875" style="1" hidden="1" customWidth="1"/>
    <col min="17" max="19" width="9.140625" style="1" hidden="1" customWidth="1"/>
    <col min="20" max="20" width="9.57421875" style="1" hidden="1" customWidth="1"/>
    <col min="21" max="21" width="9.140625" style="1" hidden="1" customWidth="1"/>
    <col min="22" max="22" width="10.7109375" style="1" hidden="1" customWidth="1"/>
    <col min="23" max="16384" width="9.140625" style="1" hidden="1" customWidth="1"/>
  </cols>
  <sheetData>
    <row r="1" spans="1:11" s="5" customFormat="1" ht="25.5">
      <c r="A1" s="53" t="s">
        <v>29</v>
      </c>
      <c r="B1" s="54"/>
      <c r="C1" s="54"/>
      <c r="D1" s="54"/>
      <c r="E1" s="54"/>
      <c r="F1" s="54"/>
      <c r="G1" s="55"/>
      <c r="H1" s="1"/>
      <c r="I1" s="6"/>
      <c r="K1" s="7"/>
    </row>
    <row r="2" spans="1:24" s="5" customFormat="1" ht="25.5">
      <c r="A2" s="56" t="s">
        <v>12</v>
      </c>
      <c r="B2" s="57"/>
      <c r="C2" s="17"/>
      <c r="D2" s="17"/>
      <c r="E2" s="17"/>
      <c r="F2" s="17"/>
      <c r="G2" s="18"/>
      <c r="H2" s="1"/>
      <c r="I2" s="8"/>
      <c r="J2" s="9"/>
      <c r="L2" s="10"/>
      <c r="M2" s="7"/>
      <c r="N2" s="7"/>
      <c r="O2" s="7"/>
      <c r="P2" s="7"/>
      <c r="Q2" s="7"/>
      <c r="S2" s="7"/>
      <c r="T2" s="7"/>
      <c r="U2" s="7"/>
      <c r="V2" s="7"/>
      <c r="W2" s="7"/>
      <c r="X2" s="7"/>
    </row>
    <row r="3" spans="1:24" s="5" customFormat="1" ht="27.75">
      <c r="A3" s="33" t="s">
        <v>25</v>
      </c>
      <c r="B3" s="62">
        <v>350</v>
      </c>
      <c r="C3" s="4"/>
      <c r="D3" s="34" t="s">
        <v>46</v>
      </c>
      <c r="E3" s="42"/>
      <c r="F3" s="4"/>
      <c r="G3" s="19"/>
      <c r="H3" s="1"/>
      <c r="I3" s="11"/>
      <c r="J3" s="5" t="s">
        <v>31</v>
      </c>
      <c r="K3" s="12" t="s">
        <v>32</v>
      </c>
      <c r="L3" s="12" t="s">
        <v>34</v>
      </c>
      <c r="M3" s="13"/>
      <c r="N3" s="13" t="s">
        <v>35</v>
      </c>
      <c r="O3" s="13" t="s">
        <v>33</v>
      </c>
      <c r="P3" s="13" t="s">
        <v>36</v>
      </c>
      <c r="Q3" s="13"/>
      <c r="R3" s="46" t="s">
        <v>37</v>
      </c>
      <c r="S3" s="46" t="s">
        <v>38</v>
      </c>
      <c r="T3" s="46" t="s">
        <v>39</v>
      </c>
      <c r="U3" s="47" t="s">
        <v>40</v>
      </c>
      <c r="V3" s="13"/>
      <c r="W3" s="13"/>
      <c r="X3" s="13"/>
    </row>
    <row r="4" spans="1:24" s="5" customFormat="1" ht="25.5">
      <c r="A4" s="33" t="s">
        <v>28</v>
      </c>
      <c r="B4" s="62">
        <v>555</v>
      </c>
      <c r="C4" s="4"/>
      <c r="D4" s="34" t="s">
        <v>45</v>
      </c>
      <c r="E4" s="50">
        <f>IF(ABS(B7)&gt;3,MAX(N4:P4)*(-0.046*B7+0.822),MAX(N4:P4))</f>
        <v>565</v>
      </c>
      <c r="F4" s="4"/>
      <c r="G4" s="19"/>
      <c r="H4" s="1"/>
      <c r="I4" s="11"/>
      <c r="J4" s="5">
        <f>LOOKUP(B4,R4:S13)</f>
        <v>485</v>
      </c>
      <c r="K4" s="12">
        <f>LOOKUP(B4,R4:T13)</f>
        <v>340</v>
      </c>
      <c r="L4" s="12">
        <f>LOOKUP(B4,R4:U13)</f>
        <v>645</v>
      </c>
      <c r="M4" s="13"/>
      <c r="N4" s="13">
        <f>J4</f>
        <v>485</v>
      </c>
      <c r="O4" s="13">
        <f>K4+K7</f>
        <v>565</v>
      </c>
      <c r="P4" s="13">
        <f>IF(B8="Y",1,0)*IF(B5&gt;45,1,0)*(L4+K7)</f>
        <v>0</v>
      </c>
      <c r="Q4" s="13"/>
      <c r="R4" s="48">
        <v>20</v>
      </c>
      <c r="S4" s="48">
        <v>125</v>
      </c>
      <c r="T4" s="49">
        <v>50</v>
      </c>
      <c r="U4" s="49">
        <v>0</v>
      </c>
      <c r="V4" s="13"/>
      <c r="W4" s="13"/>
      <c r="X4" s="13"/>
    </row>
    <row r="5" spans="1:24" s="5" customFormat="1" ht="25.5">
      <c r="A5" s="33" t="s">
        <v>27</v>
      </c>
      <c r="B5" s="62">
        <v>45</v>
      </c>
      <c r="D5" s="34" t="s">
        <v>44</v>
      </c>
      <c r="E5" s="50">
        <f>IF(ABS(B7)&gt;3,MAX(N5:P5)*(-0.046*B7+0.822),MAX(N5:P5))</f>
        <v>515</v>
      </c>
      <c r="F5" s="4"/>
      <c r="G5" s="19"/>
      <c r="H5" s="1"/>
      <c r="I5" s="6"/>
      <c r="K5" s="12"/>
      <c r="L5" s="12"/>
      <c r="M5" s="13"/>
      <c r="N5" s="13"/>
      <c r="O5" s="13">
        <f>K4+K8</f>
        <v>515</v>
      </c>
      <c r="P5" s="13">
        <f>IF(B8="Y",1,0)*IF(B5&gt;45,1,0)*(L4+K8)</f>
        <v>0</v>
      </c>
      <c r="Q5" s="13"/>
      <c r="R5" s="48">
        <v>25</v>
      </c>
      <c r="S5" s="49">
        <v>125</v>
      </c>
      <c r="T5" s="49">
        <v>50</v>
      </c>
      <c r="U5" s="49">
        <v>0</v>
      </c>
      <c r="V5" s="13"/>
      <c r="W5" s="13"/>
      <c r="X5" s="13"/>
    </row>
    <row r="6" spans="1:24" s="5" customFormat="1" ht="25.5">
      <c r="A6" s="44" t="s">
        <v>26</v>
      </c>
      <c r="B6" s="45"/>
      <c r="E6" s="42"/>
      <c r="F6" s="4"/>
      <c r="G6" s="19"/>
      <c r="H6" s="1"/>
      <c r="I6" s="6"/>
      <c r="J6" s="5" t="s">
        <v>41</v>
      </c>
      <c r="K6" s="12"/>
      <c r="L6" s="12"/>
      <c r="M6" s="13"/>
      <c r="N6" s="13"/>
      <c r="O6" s="13"/>
      <c r="P6" s="13"/>
      <c r="Q6" s="13"/>
      <c r="R6" s="48">
        <v>30</v>
      </c>
      <c r="S6" s="49">
        <v>125</v>
      </c>
      <c r="T6" s="49">
        <v>50</v>
      </c>
      <c r="U6" s="49">
        <v>0</v>
      </c>
      <c r="V6" s="13"/>
      <c r="W6" s="13"/>
      <c r="X6" s="13"/>
    </row>
    <row r="7" spans="1:24" s="5" customFormat="1" ht="25.5">
      <c r="A7" s="33" t="s">
        <v>53</v>
      </c>
      <c r="B7" s="63">
        <v>3</v>
      </c>
      <c r="D7" s="34"/>
      <c r="E7" s="42"/>
      <c r="F7" s="4"/>
      <c r="G7" s="19"/>
      <c r="H7" s="1"/>
      <c r="I7" s="6"/>
      <c r="J7" s="5" t="s">
        <v>42</v>
      </c>
      <c r="K7" s="12">
        <f>IF(B5=0,75,MAX(ROUND((B3/(3600/B5))*2,0)*25,75))</f>
        <v>225</v>
      </c>
      <c r="L7" s="12"/>
      <c r="M7" s="13"/>
      <c r="N7" s="13"/>
      <c r="O7" s="13"/>
      <c r="P7" s="13"/>
      <c r="Q7" s="13"/>
      <c r="R7" s="48">
        <v>35</v>
      </c>
      <c r="S7" s="49">
        <v>125</v>
      </c>
      <c r="T7" s="49">
        <v>50</v>
      </c>
      <c r="U7" s="49">
        <v>0</v>
      </c>
      <c r="V7" s="13"/>
      <c r="W7" s="13"/>
      <c r="X7" s="13"/>
    </row>
    <row r="8" spans="1:24" s="5" customFormat="1" ht="25.5">
      <c r="A8" s="33" t="s">
        <v>30</v>
      </c>
      <c r="B8" s="63" t="s">
        <v>50</v>
      </c>
      <c r="D8" s="34"/>
      <c r="E8" s="42"/>
      <c r="F8" s="4"/>
      <c r="G8" s="19"/>
      <c r="H8" s="1"/>
      <c r="I8" s="6"/>
      <c r="J8" s="5" t="s">
        <v>43</v>
      </c>
      <c r="K8" s="12">
        <f>IF(B5=0,75,MAX(ROUND((B3/(3600/B5))*1.5,0)*25,75))</f>
        <v>175</v>
      </c>
      <c r="L8" s="12"/>
      <c r="M8" s="13"/>
      <c r="N8" s="13"/>
      <c r="O8" s="13"/>
      <c r="P8" s="13"/>
      <c r="Q8" s="13"/>
      <c r="R8" s="48">
        <v>40</v>
      </c>
      <c r="S8" s="48">
        <v>170</v>
      </c>
      <c r="T8" s="48">
        <v>70</v>
      </c>
      <c r="U8" s="49">
        <v>0</v>
      </c>
      <c r="V8" s="13"/>
      <c r="W8" s="13"/>
      <c r="X8" s="13"/>
    </row>
    <row r="9" spans="1:21" s="5" customFormat="1" ht="26.25" thickBot="1">
      <c r="A9" s="43"/>
      <c r="B9" s="37"/>
      <c r="C9" s="4"/>
      <c r="D9" s="3"/>
      <c r="E9" s="4"/>
      <c r="F9" s="4"/>
      <c r="G9" s="19"/>
      <c r="H9" s="1"/>
      <c r="I9" s="14"/>
      <c r="K9" s="12"/>
      <c r="L9" s="12"/>
      <c r="M9" s="13"/>
      <c r="N9" s="13"/>
      <c r="O9" s="13"/>
      <c r="P9" s="13"/>
      <c r="Q9" s="13"/>
      <c r="R9" s="48">
        <v>45</v>
      </c>
      <c r="S9" s="48">
        <v>220</v>
      </c>
      <c r="T9" s="48">
        <v>115</v>
      </c>
      <c r="U9" s="49">
        <v>340</v>
      </c>
    </row>
    <row r="10" spans="1:26" s="5" customFormat="1" ht="25.5">
      <c r="A10" s="39"/>
      <c r="B10" s="39"/>
      <c r="C10" s="39"/>
      <c r="D10" s="40"/>
      <c r="E10" s="39"/>
      <c r="F10" s="39"/>
      <c r="G10" s="39"/>
      <c r="H10" s="1"/>
      <c r="I10" s="14"/>
      <c r="J10" s="11" t="s">
        <v>51</v>
      </c>
      <c r="K10" s="12"/>
      <c r="L10" s="12"/>
      <c r="M10" s="13"/>
      <c r="N10" s="13"/>
      <c r="O10" s="13"/>
      <c r="P10" s="13"/>
      <c r="Q10" s="13"/>
      <c r="R10" s="48">
        <v>50</v>
      </c>
      <c r="S10" s="48">
        <v>275</v>
      </c>
      <c r="T10" s="48">
        <v>170</v>
      </c>
      <c r="U10" s="49">
        <v>410</v>
      </c>
      <c r="Z10" s="12"/>
    </row>
    <row r="11" spans="1:26" s="5" customFormat="1" ht="25.5">
      <c r="A11" s="58" t="s">
        <v>54</v>
      </c>
      <c r="B11" s="59"/>
      <c r="C11" s="59"/>
      <c r="D11" s="59"/>
      <c r="E11" s="59"/>
      <c r="F11" s="59"/>
      <c r="G11" s="60"/>
      <c r="H11" s="1"/>
      <c r="I11" s="12"/>
      <c r="K11" s="52" t="s">
        <v>52</v>
      </c>
      <c r="L11" s="12"/>
      <c r="M11" s="38"/>
      <c r="Q11" s="6"/>
      <c r="R11" s="48">
        <v>55</v>
      </c>
      <c r="S11" s="48">
        <v>340</v>
      </c>
      <c r="T11" s="48">
        <v>220</v>
      </c>
      <c r="U11" s="49">
        <v>485</v>
      </c>
      <c r="V11" s="12"/>
      <c r="W11" s="12"/>
      <c r="X11" s="12"/>
      <c r="Y11" s="12"/>
      <c r="Z11" s="12"/>
    </row>
    <row r="12" spans="1:26" s="5" customFormat="1" ht="25.5">
      <c r="A12" s="58"/>
      <c r="B12" s="59"/>
      <c r="C12" s="59"/>
      <c r="D12" s="59"/>
      <c r="E12" s="59"/>
      <c r="F12" s="59"/>
      <c r="G12" s="60"/>
      <c r="H12" s="1"/>
      <c r="I12" s="12"/>
      <c r="K12" s="12"/>
      <c r="L12" s="12"/>
      <c r="M12" s="13"/>
      <c r="Q12" s="6"/>
      <c r="R12" s="48">
        <v>60</v>
      </c>
      <c r="S12" s="48">
        <v>410</v>
      </c>
      <c r="T12" s="48">
        <v>275</v>
      </c>
      <c r="U12" s="49">
        <v>565</v>
      </c>
      <c r="V12" s="12"/>
      <c r="W12" s="12"/>
      <c r="X12" s="12"/>
      <c r="Y12" s="12"/>
      <c r="Z12" s="12"/>
    </row>
    <row r="13" spans="1:26" s="5" customFormat="1" ht="25.5">
      <c r="A13" s="4"/>
      <c r="B13" s="4"/>
      <c r="C13" s="4"/>
      <c r="D13" s="3"/>
      <c r="E13" s="4"/>
      <c r="F13" s="4"/>
      <c r="G13" s="4"/>
      <c r="H13" s="1"/>
      <c r="I13" s="15"/>
      <c r="K13" s="12"/>
      <c r="L13" s="12"/>
      <c r="M13" s="13"/>
      <c r="Q13" s="6"/>
      <c r="R13" s="48">
        <v>65</v>
      </c>
      <c r="S13" s="48">
        <v>485</v>
      </c>
      <c r="T13" s="48">
        <v>340</v>
      </c>
      <c r="U13" s="49">
        <v>645</v>
      </c>
      <c r="V13" s="12"/>
      <c r="W13" s="12"/>
      <c r="X13" s="12"/>
      <c r="Y13" s="12"/>
      <c r="Z13" s="12"/>
    </row>
    <row r="14" spans="1:26" s="5" customFormat="1" ht="26.25">
      <c r="A14" s="41"/>
      <c r="B14" s="4"/>
      <c r="C14" s="4"/>
      <c r="D14" s="3"/>
      <c r="E14" s="4"/>
      <c r="F14" s="4"/>
      <c r="G14" s="4"/>
      <c r="H14" s="1"/>
      <c r="I14" s="15"/>
      <c r="K14" s="12"/>
      <c r="L14" s="12"/>
      <c r="M14" s="13"/>
      <c r="S14" s="15"/>
      <c r="U14" s="12"/>
      <c r="V14" s="12"/>
      <c r="W14" s="12"/>
      <c r="X14" s="12"/>
      <c r="Y14" s="12"/>
      <c r="Z14" s="12"/>
    </row>
    <row r="15" spans="1:26" s="5" customFormat="1" ht="25.5">
      <c r="A15" s="4"/>
      <c r="B15" s="4"/>
      <c r="C15" s="4"/>
      <c r="D15" s="3"/>
      <c r="E15" s="4"/>
      <c r="F15" s="4"/>
      <c r="G15" s="4"/>
      <c r="H15" s="1"/>
      <c r="I15" s="15"/>
      <c r="K15" s="12"/>
      <c r="L15" s="12"/>
      <c r="M15" s="13"/>
      <c r="S15" s="15"/>
      <c r="U15" s="12"/>
      <c r="V15" s="12"/>
      <c r="W15" s="12"/>
      <c r="X15" s="12"/>
      <c r="Y15" s="12"/>
      <c r="Z15" s="12"/>
    </row>
    <row r="16" spans="1:26" s="5" customFormat="1" ht="25.5">
      <c r="A16" s="4"/>
      <c r="B16" s="4"/>
      <c r="C16" s="4"/>
      <c r="D16" s="3"/>
      <c r="E16" s="4"/>
      <c r="F16" s="4"/>
      <c r="G16" s="4"/>
      <c r="H16" s="1"/>
      <c r="I16" s="12"/>
      <c r="K16" s="12"/>
      <c r="L16" s="12"/>
      <c r="M16" s="13"/>
      <c r="S16" s="12"/>
      <c r="U16" s="12"/>
      <c r="V16" s="12"/>
      <c r="W16" s="12"/>
      <c r="X16" s="12"/>
      <c r="Y16" s="12"/>
      <c r="Z16" s="12"/>
    </row>
    <row r="17" spans="1:26" s="5" customFormat="1" ht="25.5">
      <c r="A17" s="4"/>
      <c r="B17" s="4"/>
      <c r="C17" s="4"/>
      <c r="D17" s="3"/>
      <c r="E17" s="4"/>
      <c r="F17" s="4"/>
      <c r="G17" s="4"/>
      <c r="H17" s="1"/>
      <c r="I17" s="12"/>
      <c r="K17" s="12"/>
      <c r="L17" s="12"/>
      <c r="M17" s="13"/>
      <c r="S17" s="12"/>
      <c r="U17" s="12"/>
      <c r="V17" s="12"/>
      <c r="W17" s="12"/>
      <c r="X17" s="12"/>
      <c r="Y17" s="12"/>
      <c r="Z17" s="12"/>
    </row>
    <row r="18" spans="1:26" s="5" customFormat="1" ht="25.5">
      <c r="A18" s="4"/>
      <c r="B18" s="4"/>
      <c r="C18" s="4"/>
      <c r="D18" s="3"/>
      <c r="E18" s="4"/>
      <c r="F18" s="4"/>
      <c r="G18" s="4"/>
      <c r="H18" s="1"/>
      <c r="I18" s="16"/>
      <c r="K18" s="12"/>
      <c r="L18" s="12"/>
      <c r="M18" s="13"/>
      <c r="S18" s="16"/>
      <c r="U18" s="12"/>
      <c r="V18" s="12"/>
      <c r="W18" s="12"/>
      <c r="X18" s="12"/>
      <c r="Y18" s="12"/>
      <c r="Z18" s="12"/>
    </row>
    <row r="19" spans="1:26" s="5" customFormat="1" ht="25.5">
      <c r="A19" s="4"/>
      <c r="B19" s="4"/>
      <c r="C19" s="4"/>
      <c r="D19" s="3"/>
      <c r="E19" s="4"/>
      <c r="F19" s="4"/>
      <c r="G19" s="4"/>
      <c r="H19" s="1"/>
      <c r="I19" s="15"/>
      <c r="K19" s="12"/>
      <c r="L19" s="12"/>
      <c r="M19" s="13"/>
      <c r="S19" s="15"/>
      <c r="U19" s="12"/>
      <c r="V19" s="12"/>
      <c r="W19" s="12"/>
      <c r="X19" s="12"/>
      <c r="Y19" s="12"/>
      <c r="Z19" s="12"/>
    </row>
    <row r="20" spans="1:26" s="5" customFormat="1" ht="25.5">
      <c r="A20" s="4"/>
      <c r="B20" s="4"/>
      <c r="C20" s="4"/>
      <c r="D20" s="3"/>
      <c r="E20" s="4"/>
      <c r="F20" s="4"/>
      <c r="G20" s="4"/>
      <c r="H20" s="1"/>
      <c r="I20" s="15"/>
      <c r="K20" s="12"/>
      <c r="L20" s="12"/>
      <c r="M20" s="13"/>
      <c r="S20" s="15"/>
      <c r="U20" s="12"/>
      <c r="V20" s="12"/>
      <c r="W20" s="12"/>
      <c r="X20" s="12"/>
      <c r="Y20" s="12"/>
      <c r="Z20" s="12"/>
    </row>
    <row r="21" spans="1:26" s="5" customFormat="1" ht="25.5">
      <c r="A21" s="4"/>
      <c r="B21" s="4"/>
      <c r="C21" s="4"/>
      <c r="D21" s="3"/>
      <c r="E21" s="4"/>
      <c r="F21" s="4"/>
      <c r="G21" s="4"/>
      <c r="H21" s="1"/>
      <c r="I21" s="15"/>
      <c r="K21" s="12"/>
      <c r="L21" s="12"/>
      <c r="M21" s="13"/>
      <c r="S21" s="15"/>
      <c r="U21" s="12"/>
      <c r="V21" s="12"/>
      <c r="W21" s="12"/>
      <c r="X21" s="12"/>
      <c r="Y21" s="12"/>
      <c r="Z21" s="12"/>
    </row>
    <row r="22" spans="1:26" s="5" customFormat="1" ht="25.5">
      <c r="A22" s="4"/>
      <c r="B22" s="4"/>
      <c r="C22" s="4"/>
      <c r="D22" s="3"/>
      <c r="E22" s="4"/>
      <c r="F22" s="4"/>
      <c r="G22" s="4"/>
      <c r="H22" s="1"/>
      <c r="I22" s="15"/>
      <c r="K22" s="12"/>
      <c r="L22" s="12"/>
      <c r="M22" s="13"/>
      <c r="S22" s="15"/>
      <c r="U22" s="12"/>
      <c r="V22" s="12"/>
      <c r="W22" s="12"/>
      <c r="X22" s="12"/>
      <c r="Y22" s="12"/>
      <c r="Z22" s="12"/>
    </row>
    <row r="23" spans="1:26" s="5" customFormat="1" ht="25.5">
      <c r="A23" s="4"/>
      <c r="B23" s="4"/>
      <c r="C23" s="4"/>
      <c r="D23" s="3"/>
      <c r="E23" s="4"/>
      <c r="F23" s="4"/>
      <c r="G23" s="4"/>
      <c r="H23" s="1"/>
      <c r="I23" s="15"/>
      <c r="K23" s="12"/>
      <c r="L23" s="12"/>
      <c r="M23" s="13"/>
      <c r="S23" s="15"/>
      <c r="U23" s="12"/>
      <c r="V23" s="12"/>
      <c r="W23" s="12"/>
      <c r="X23" s="12"/>
      <c r="Y23" s="12"/>
      <c r="Z23" s="12"/>
    </row>
    <row r="24" spans="1:26" s="5" customFormat="1" ht="25.5">
      <c r="A24" s="4"/>
      <c r="B24" s="4"/>
      <c r="C24" s="4"/>
      <c r="D24" s="3"/>
      <c r="E24" s="4"/>
      <c r="F24" s="4"/>
      <c r="G24" s="4"/>
      <c r="H24" s="1"/>
      <c r="I24" s="15"/>
      <c r="K24" s="12"/>
      <c r="L24" s="12"/>
      <c r="M24" s="13"/>
      <c r="S24" s="15"/>
      <c r="U24" s="12"/>
      <c r="V24" s="12"/>
      <c r="W24" s="12"/>
      <c r="X24" s="12"/>
      <c r="Y24" s="12"/>
      <c r="Z24" s="12"/>
    </row>
    <row r="25" spans="1:26" s="5" customFormat="1" ht="25.5">
      <c r="A25" s="4"/>
      <c r="B25" s="4"/>
      <c r="C25" s="4"/>
      <c r="D25" s="3"/>
      <c r="E25" s="4"/>
      <c r="F25" s="4"/>
      <c r="G25" s="4"/>
      <c r="H25" s="1"/>
      <c r="I25" s="15"/>
      <c r="K25" s="12"/>
      <c r="L25" s="12"/>
      <c r="M25" s="13"/>
      <c r="S25" s="15"/>
      <c r="U25" s="12"/>
      <c r="V25" s="12"/>
      <c r="W25" s="12"/>
      <c r="X25" s="12"/>
      <c r="Y25" s="12"/>
      <c r="Z25" s="12"/>
    </row>
    <row r="26" spans="1:26" s="5" customFormat="1" ht="25.5">
      <c r="A26" s="4"/>
      <c r="B26" s="4"/>
      <c r="C26" s="4"/>
      <c r="D26" s="3"/>
      <c r="E26" s="4"/>
      <c r="F26" s="4"/>
      <c r="G26" s="4"/>
      <c r="H26" s="1"/>
      <c r="I26" s="15"/>
      <c r="K26" s="12"/>
      <c r="L26" s="12"/>
      <c r="M26" s="13"/>
      <c r="S26" s="15"/>
      <c r="U26" s="12"/>
      <c r="V26" s="12"/>
      <c r="W26" s="12"/>
      <c r="X26" s="12"/>
      <c r="Y26" s="12"/>
      <c r="Z26" s="12"/>
    </row>
    <row r="27" spans="1:26" s="5" customFormat="1" ht="25.5">
      <c r="A27" s="4"/>
      <c r="B27" s="4"/>
      <c r="C27" s="4"/>
      <c r="D27" s="3"/>
      <c r="E27" s="4"/>
      <c r="F27" s="4"/>
      <c r="G27" s="4"/>
      <c r="H27" s="1"/>
      <c r="I27" s="15"/>
      <c r="K27" s="12"/>
      <c r="L27" s="12"/>
      <c r="M27" s="13"/>
      <c r="S27" s="15"/>
      <c r="U27" s="12"/>
      <c r="V27" s="12"/>
      <c r="W27" s="12"/>
      <c r="X27" s="12"/>
      <c r="Y27" s="12"/>
      <c r="Z27" s="12"/>
    </row>
    <row r="28" spans="1:26" s="5" customFormat="1" ht="25.5">
      <c r="A28" s="4"/>
      <c r="B28" s="4"/>
      <c r="C28" s="4"/>
      <c r="D28" s="3"/>
      <c r="E28" s="4"/>
      <c r="F28" s="4"/>
      <c r="G28" s="4"/>
      <c r="H28" s="1"/>
      <c r="I28" s="15"/>
      <c r="K28" s="12"/>
      <c r="L28" s="12"/>
      <c r="M28" s="13"/>
      <c r="N28" s="13"/>
      <c r="V28" s="12"/>
      <c r="W28" s="12"/>
      <c r="X28" s="12"/>
      <c r="Y28" s="12"/>
      <c r="Z28" s="12"/>
    </row>
    <row r="29" spans="1:21" s="5" customFormat="1" ht="25.5">
      <c r="A29" s="4"/>
      <c r="B29" s="4"/>
      <c r="C29" s="4"/>
      <c r="D29" s="3"/>
      <c r="E29" s="4"/>
      <c r="F29" s="4"/>
      <c r="G29" s="4"/>
      <c r="H29" s="1"/>
      <c r="T29" s="26"/>
      <c r="U29" s="15"/>
    </row>
    <row r="30" spans="1:21" s="5" customFormat="1" ht="25.5">
      <c r="A30" s="1"/>
      <c r="B30" s="1"/>
      <c r="C30" s="1"/>
      <c r="D30" s="2"/>
      <c r="E30" s="1"/>
      <c r="F30" s="1"/>
      <c r="G30" s="1"/>
      <c r="H30" s="1"/>
      <c r="J30" s="26"/>
      <c r="R30" s="1"/>
      <c r="S30" s="1"/>
      <c r="T30" s="1"/>
      <c r="U30" s="1"/>
    </row>
  </sheetData>
  <mergeCells count="3">
    <mergeCell ref="A1:G1"/>
    <mergeCell ref="A2:B2"/>
    <mergeCell ref="A11:G12"/>
  </mergeCells>
  <printOptions horizontalCentered="1"/>
  <pageMargins left="0.75" right="0.75" top="1" bottom="1" header="0.5" footer="0.5"/>
  <pageSetup horizontalDpi="600" verticalDpi="600" orientation="portrait" scale="10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KTC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akirk</dc:creator>
  <cp:keywords/>
  <dc:description/>
  <cp:lastModifiedBy>akirk</cp:lastModifiedBy>
  <cp:lastPrinted>2009-05-29T17:42:42Z</cp:lastPrinted>
  <dcterms:created xsi:type="dcterms:W3CDTF">2007-05-04T12:46:12Z</dcterms:created>
  <dcterms:modified xsi:type="dcterms:W3CDTF">2009-07-21T16:13:23Z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Secti">
    <vt:lpwstr/>
  </property>
  <property fmtid="{D5CDD505-2E9C-101B-9397-08002B2CF9AE}" pid="4" name="display_urn:schemas-microsoft-com:office:office#Edit">
    <vt:lpwstr>Phelps, Barry (KYTC)</vt:lpwstr>
  </property>
  <property fmtid="{D5CDD505-2E9C-101B-9397-08002B2CF9AE}" pid="5" name="display_urn:schemas-microsoft-com:office:office#Auth">
    <vt:lpwstr>Phelps, Barry (KYTC)</vt:lpwstr>
  </property>
</Properties>
</file>