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140" windowHeight="12996" tabRatio="928" activeTab="0"/>
  </bookViews>
  <sheets>
    <sheet name="Input" sheetId="1" r:id="rId1"/>
    <sheet name="Bridge Quantities" sheetId="2" r:id="rId2"/>
    <sheet name="TC 66-101 (Bridge Est.)" sheetId="3" r:id="rId3"/>
    <sheet name="TC 66-100 (Culvert Est.)" sheetId="4" r:id="rId4"/>
    <sheet name="TC 66-155 (Black Book Card)" sheetId="5" r:id="rId5"/>
    <sheet name="B &amp; C Summary" sheetId="6" r:id="rId6"/>
    <sheet name="Structure Data" sheetId="7" r:id="rId7"/>
    <sheet name="Bids" sheetId="8" r:id="rId8"/>
    <sheet name="Hour Estimate" sheetId="9" r:id="rId9"/>
    <sheet name="TC 66-1 (Payroll)" sheetId="10" r:id="rId10"/>
    <sheet name="TC 66-110 (Bridge Review)" sheetId="11" r:id="rId11"/>
    <sheet name="TC 66-111 (Culvert Review)" sheetId="12" r:id="rId12"/>
    <sheet name="TC 66-112 (Prelim)" sheetId="13" r:id="rId13"/>
    <sheet name="TC 66-116 (Final 1)" sheetId="14" r:id="rId14"/>
    <sheet name="TC 66-117 (Final 2)" sheetId="15" r:id="rId15"/>
  </sheets>
  <definedNames>
    <definedName name="_xlfn.SINGLE" hidden="1">#NAME?</definedName>
    <definedName name="_xlnm.Print_Area" localSheetId="1">'Bridge Quantities'!$1:$38</definedName>
    <definedName name="_xlnm.Print_Area" localSheetId="8">'Hour Estimate'!$A:$K</definedName>
    <definedName name="_xlnm.Print_Area" localSheetId="0">'Input'!$A:$U</definedName>
    <definedName name="_xlnm.Print_Area" localSheetId="3">'TC 66-100 (Culvert Est.)'!$A:$X</definedName>
    <definedName name="_xlnm.Print_Titles" localSheetId="7">'Bids'!$1:$1</definedName>
    <definedName name="_xlnm.Print_Titles" localSheetId="1">'Bridge Quantities'!$A:$A,'Bridge Quantities'!$2:$5</definedName>
    <definedName name="_xlnm.Print_Titles" localSheetId="3">'TC 66-100 (Culvert Est.)'!$1:$23</definedName>
    <definedName name="_xlnm.Print_Titles" localSheetId="10">'TC 66-110 (Bridge Review)'!$1:$6</definedName>
    <definedName name="_xlnm.Print_Titles" localSheetId="12">'TC 66-112 (Prelim)'!$1:$6</definedName>
    <definedName name="_xlnm.Print_Titles" localSheetId="13">'TC 66-116 (Final 1)'!$1:$6</definedName>
    <definedName name="_xlnm.Print_Titles" localSheetId="14">'TC 66-117 (Final 2)'!$1:$6</definedName>
  </definedNames>
  <calcPr fullCalcOnLoad="1"/>
</workbook>
</file>

<file path=xl/sharedStrings.xml><?xml version="1.0" encoding="utf-8"?>
<sst xmlns="http://schemas.openxmlformats.org/spreadsheetml/2006/main" count="11213" uniqueCount="5763">
  <si>
    <t>03269M</t>
  </si>
  <si>
    <t xml:space="preserve"> TREE AND BRUSH REMOVAL</t>
  </si>
  <si>
    <t>03270M</t>
  </si>
  <si>
    <t xml:space="preserve"> TREE TRIMMING</t>
  </si>
  <si>
    <t>03271M</t>
  </si>
  <si>
    <t xml:space="preserve"> PRUNING AND SHAPING</t>
  </si>
  <si>
    <t>03272M</t>
  </si>
  <si>
    <t xml:space="preserve"> FERTILIZATION</t>
  </si>
  <si>
    <t>03275M</t>
  </si>
  <si>
    <t xml:space="preserve"> LITTER REMOVAL</t>
  </si>
  <si>
    <t>03280M</t>
  </si>
  <si>
    <t xml:space="preserve"> PRE-DERBY LITTER REMOVAL</t>
  </si>
  <si>
    <t>03281M</t>
  </si>
  <si>
    <t xml:space="preserve"> PRE-DERBY MOWING</t>
  </si>
  <si>
    <t>03285M</t>
  </si>
  <si>
    <t xml:space="preserve"> FINE TURF MOWING</t>
  </si>
  <si>
    <t>03286M</t>
  </si>
  <si>
    <t xml:space="preserve"> SIDEWALK RAMP TYPE 1</t>
  </si>
  <si>
    <t xml:space="preserve"> SIDEWALK RAMP TYPE 2</t>
  </si>
  <si>
    <t xml:space="preserve"> SIDEWALK RAMP TYPE 3</t>
  </si>
  <si>
    <t xml:space="preserve"> SIDEWALK RAMP TYPE 4</t>
  </si>
  <si>
    <t xml:space="preserve"> EXPAN JOINT ASSEMBLY</t>
  </si>
  <si>
    <t xml:space="preserve"> EXPAN JOINT REPLACE 1 INCH</t>
  </si>
  <si>
    <t>03293M</t>
  </si>
  <si>
    <t xml:space="preserve"> EXPAN JOINT REPLACE 25MM</t>
  </si>
  <si>
    <t xml:space="preserve"> EXPAN JOINT REPLACE 1 1/2 INCH</t>
  </si>
  <si>
    <t>03294M</t>
  </si>
  <si>
    <t xml:space="preserve"> EXPAN JOINT REPLACE 37.5MM</t>
  </si>
  <si>
    <t xml:space="preserve"> EXPAN JOINT REPLACE 2 INCH</t>
  </si>
  <si>
    <t>03295M</t>
  </si>
  <si>
    <t xml:space="preserve"> EXPAN JOINT REPLACE 50MM</t>
  </si>
  <si>
    <t xml:space="preserve"> EXPAN JOINT REPLACE 2 1/2 INCH</t>
  </si>
  <si>
    <t>03296M</t>
  </si>
  <si>
    <t xml:space="preserve"> EXPAN JOINT REPLACE 62.5MM</t>
  </si>
  <si>
    <t xml:space="preserve"> EXPAN JOINT REPLACE 3 INCH</t>
  </si>
  <si>
    <t>03297M</t>
  </si>
  <si>
    <t xml:space="preserve"> PERF PIPE HEADWALL TY 2-250 MM</t>
  </si>
  <si>
    <t xml:space="preserve"> PERF PIPE HEADWALL TY 3-4 INCH</t>
  </si>
  <si>
    <t>01028M</t>
  </si>
  <si>
    <t xml:space="preserve"> PERF PIPE HEADWALL TY 3-100 MM</t>
  </si>
  <si>
    <t xml:space="preserve"> PERF PIPE HEADWALL TY 3-6 INCH</t>
  </si>
  <si>
    <t>01029M</t>
  </si>
  <si>
    <t xml:space="preserve"> PERF PIPE HEADWALL TY 3-150 MM</t>
  </si>
  <si>
    <t xml:space="preserve"> PERF PIPE HEADWALL TY 3-8 INCH</t>
  </si>
  <si>
    <t>01030M</t>
  </si>
  <si>
    <t xml:space="preserve"> PERF PIPE HEADWALL TY 3-200 MM</t>
  </si>
  <si>
    <t xml:space="preserve"> PERF PIPE HEADWALL TY 3-10 IN</t>
  </si>
  <si>
    <t>01031M</t>
  </si>
  <si>
    <t xml:space="preserve"> PERF PIPE HEADWALL TY 3-250 MM</t>
  </si>
  <si>
    <t xml:space="preserve"> PERF PIPE HEADWALL TY 4-4 INCH</t>
  </si>
  <si>
    <t>01032M</t>
  </si>
  <si>
    <t xml:space="preserve"> PERF PIPE HEADWALL TY 4-100 MM</t>
  </si>
  <si>
    <t xml:space="preserve"> PERF PIPE HEADWALL TY 4-6 INCH</t>
  </si>
  <si>
    <t>01033M</t>
  </si>
  <si>
    <t xml:space="preserve"> PERF PIPE HEADWALL TY 4-150 MM</t>
  </si>
  <si>
    <t xml:space="preserve"> PERF PIPE HEADWALL TY 4-8 INCH</t>
  </si>
  <si>
    <t>01034M</t>
  </si>
  <si>
    <t>20070ES601</t>
  </si>
  <si>
    <t>Drafting Hrs</t>
  </si>
  <si>
    <t>Total Hrs</t>
  </si>
  <si>
    <t>Drilled Shafts (total for project)</t>
  </si>
  <si>
    <t>Column size changes (total for project)</t>
  </si>
  <si>
    <t>CULVERTS</t>
  </si>
  <si>
    <t>Width</t>
  </si>
  <si>
    <t>1.  Dist. No.</t>
  </si>
  <si>
    <t>32. Letting
Date</t>
  </si>
  <si>
    <t>33. Microfilm
Date</t>
  </si>
  <si>
    <t>34. Completion
Date</t>
  </si>
  <si>
    <t>35. Archives
Box No.</t>
  </si>
  <si>
    <t>36. Maint. Acc.
Date</t>
  </si>
  <si>
    <t>STRUCTURE DATA</t>
  </si>
  <si>
    <t>Left Length</t>
  </si>
  <si>
    <t>Left Elev.</t>
  </si>
  <si>
    <t>Right Elev.</t>
  </si>
  <si>
    <t>Right Length</t>
  </si>
  <si>
    <t>KENTUCKY TRANSPORTATION CABINET, DEPARTMENT OF HIGHWAYS</t>
  </si>
  <si>
    <t>SHEET 1</t>
  </si>
  <si>
    <t>Each</t>
  </si>
  <si>
    <t>14.  Span No.</t>
  </si>
  <si>
    <t>15. Span Length</t>
  </si>
  <si>
    <t>16. Type</t>
  </si>
  <si>
    <t>17. Sub. No.</t>
  </si>
  <si>
    <t>18.  Height</t>
  </si>
  <si>
    <t>19.  Type</t>
  </si>
  <si>
    <t>20.  Type</t>
  </si>
  <si>
    <t>21.  No. Openings</t>
  </si>
  <si>
    <t>22. Size Openings</t>
  </si>
  <si>
    <t>23. Barrel Length</t>
  </si>
  <si>
    <t>24. Fill Height</t>
  </si>
  <si>
    <t>include the "+"</t>
  </si>
  <si>
    <t>CULVERT QUANTITIES</t>
  </si>
  <si>
    <t>TOTAL</t>
  </si>
  <si>
    <t>ITEM #</t>
  </si>
  <si>
    <t>Drawing #</t>
  </si>
  <si>
    <t>SUMMARY OF CULVERT DATA</t>
  </si>
  <si>
    <t xml:space="preserve"> COPPER PIPE-3/4 INCH</t>
  </si>
  <si>
    <t>03360M</t>
  </si>
  <si>
    <t xml:space="preserve"> COPPER PIPE-19 MM</t>
  </si>
  <si>
    <t xml:space="preserve"> COPPER PIPE-1 INCH</t>
  </si>
  <si>
    <t>03361M</t>
  </si>
  <si>
    <t xml:space="preserve"> COPPER PIPE-25 MM</t>
  </si>
  <si>
    <t xml:space="preserve"> COPPER PIPE-1 1/2 INCH</t>
  </si>
  <si>
    <t>03362M</t>
  </si>
  <si>
    <t xml:space="preserve"> COPPER PIPE-38 MM</t>
  </si>
  <si>
    <t xml:space="preserve"> COPPER PIPE-2 INCH</t>
  </si>
  <si>
    <t>03363M</t>
  </si>
  <si>
    <t xml:space="preserve"> COPPER PIPE-50 MM</t>
  </si>
  <si>
    <t xml:space="preserve"> PLASTIC PIPE-3/4 INCH</t>
  </si>
  <si>
    <t>03369M</t>
  </si>
  <si>
    <t xml:space="preserve"> PLASTIC PIPE-19 MM</t>
  </si>
  <si>
    <t xml:space="preserve"> PLASTIC PIPE-1 INCH</t>
  </si>
  <si>
    <t>03370M</t>
  </si>
  <si>
    <t xml:space="preserve"> PLASTIC PIPE-25 MM</t>
  </si>
  <si>
    <t xml:space="preserve"> PLASTIC PIPE-1 1/2 INCH</t>
  </si>
  <si>
    <t>03371M</t>
  </si>
  <si>
    <t xml:space="preserve"> PLASTIC PIPE-38 MM</t>
  </si>
  <si>
    <t xml:space="preserve"> PLASTIC PIPE-2 INCH</t>
  </si>
  <si>
    <t>03372M</t>
  </si>
  <si>
    <t xml:space="preserve"> PLASTIC PIPE-50 MM</t>
  </si>
  <si>
    <t xml:space="preserve"> PVC PIPE-1 1/2 INCH</t>
  </si>
  <si>
    <t>03378M</t>
  </si>
  <si>
    <t xml:space="preserve"> PVC PIPE-38 MM</t>
  </si>
  <si>
    <t xml:space="preserve"> PVC PIPE-3/4 INCH</t>
  </si>
  <si>
    <t>03379M</t>
  </si>
  <si>
    <t xml:space="preserve"> PVC PIPE-19 MM</t>
  </si>
  <si>
    <t xml:space="preserve"> PVC PIPE-1 INCH</t>
  </si>
  <si>
    <t>03380M</t>
  </si>
  <si>
    <t xml:space="preserve"> PVC PIPE-25 MM</t>
  </si>
  <si>
    <t xml:space="preserve"> PVC PIPE-2 INCH</t>
  </si>
  <si>
    <t>03381M</t>
  </si>
  <si>
    <t xml:space="preserve"> PVC PIPE-50 MM</t>
  </si>
  <si>
    <t xml:space="preserve"> PVC PIPE-3 INCH</t>
  </si>
  <si>
    <t>03382M</t>
  </si>
  <si>
    <t xml:space="preserve"> PVC PIPE-75 MM</t>
  </si>
  <si>
    <t xml:space="preserve"> PVC PIPE-4 INCH</t>
  </si>
  <si>
    <t>03383M</t>
  </si>
  <si>
    <t xml:space="preserve"> PVC PIPE-100 MM</t>
  </si>
  <si>
    <t xml:space="preserve"> PVC PIPE-6 INCH</t>
  </si>
  <si>
    <t>03385M</t>
  </si>
  <si>
    <t xml:space="preserve"> PVC PIPE-150 MM</t>
  </si>
  <si>
    <t xml:space="preserve"> PVC PIPE-8 INCH</t>
  </si>
  <si>
    <t>03387M</t>
  </si>
  <si>
    <t xml:space="preserve"> PVC PIPE-200 MM</t>
  </si>
  <si>
    <t xml:space="preserve"> PVC PIPE-10 INCH</t>
  </si>
  <si>
    <t>03389M</t>
  </si>
  <si>
    <t xml:space="preserve"> PVC PIPE-250 MM</t>
  </si>
  <si>
    <t xml:space="preserve"> PVC PIPE-12 INCH</t>
  </si>
  <si>
    <t xml:space="preserve"> HANDRAIL-METAL</t>
  </si>
  <si>
    <t>08256M</t>
  </si>
  <si>
    <t xml:space="preserve"> HANDRAIL-PEDESTRIAN ALUMINUM</t>
  </si>
  <si>
    <t>08257M</t>
  </si>
  <si>
    <t xml:space="preserve"> BRIDGE LIGHTING</t>
  </si>
  <si>
    <t xml:space="preserve"> NAVIGATION LIGHTING</t>
  </si>
  <si>
    <t xml:space="preserve"> TEMPORARY PIER LIGHTING</t>
  </si>
  <si>
    <t xml:space="preserve"> ELECTRICAL CONDUIT</t>
  </si>
  <si>
    <t xml:space="preserve"> TELEPHONE CONDUIT</t>
  </si>
  <si>
    <t xml:space="preserve"> REMOVE SUPERSTRUCTURE</t>
  </si>
  <si>
    <t xml:space="preserve"> REMOVE REINF CONCRETE</t>
  </si>
  <si>
    <t xml:space="preserve"> REMOVE BRIDGE FLOORING</t>
  </si>
  <si>
    <t xml:space="preserve"> BIT CONCRETE SURFACE MIXTURE</t>
  </si>
  <si>
    <t>08401M</t>
  </si>
  <si>
    <t xml:space="preserve"> GALV METAL PLANK FLOORING</t>
  </si>
  <si>
    <t>08404M</t>
  </si>
  <si>
    <t xml:space="preserve"> OPEN GRID FLOOR</t>
  </si>
  <si>
    <t>08405M</t>
  </si>
  <si>
    <t xml:space="preserve"> SIDEWALK-2 IN CONC FILLED GRID</t>
  </si>
  <si>
    <t>08406M</t>
  </si>
  <si>
    <t xml:space="preserve"> SIDEWALK-50MM CONC FILLED GRID</t>
  </si>
  <si>
    <t xml:space="preserve"> LOW FLOW DIVERSION CURB</t>
  </si>
  <si>
    <t xml:space="preserve"> TREATED STRUCTURAL LUMBER</t>
  </si>
  <si>
    <t xml:space="preserve"> MBM</t>
  </si>
  <si>
    <t xml:space="preserve"> CLEAN &amp; PAINT STRUCTURAL STEEL</t>
  </si>
  <si>
    <t xml:space="preserve"> EXPANSION DAM-1.5 IN NEOPRENE</t>
  </si>
  <si>
    <t>08469M</t>
  </si>
  <si>
    <t xml:space="preserve"> EXPANSION DAM-40 MM NEOPRENE</t>
  </si>
  <si>
    <t xml:space="preserve"> EXPANSION DAM-2 INCH NEOPRENE</t>
  </si>
  <si>
    <t>08470M</t>
  </si>
  <si>
    <t xml:space="preserve"> STORM SEWER PIPE-12 INCH</t>
  </si>
  <si>
    <t>00520M</t>
  </si>
  <si>
    <t xml:space="preserve"> STORM SEWER PIPE-300 MM</t>
  </si>
  <si>
    <t xml:space="preserve"> STORM SEWER PIPE-15 INCH</t>
  </si>
  <si>
    <t>00521M</t>
  </si>
  <si>
    <t xml:space="preserve"> STORM SEWER PIPE-375 MM</t>
  </si>
  <si>
    <t xml:space="preserve"> STORM SEWER PIPE-18 INCH</t>
  </si>
  <si>
    <t>00522M</t>
  </si>
  <si>
    <t xml:space="preserve"> STORM SEWER PIPE-450 MM</t>
  </si>
  <si>
    <t xml:space="preserve"> STORM SEWER PIPE-21 INCH</t>
  </si>
  <si>
    <t>00523M</t>
  </si>
  <si>
    <t xml:space="preserve"> STORM SEWER PIPE-525 MM</t>
  </si>
  <si>
    <t xml:space="preserve"> STORM SEWER PIPE-24 INCH</t>
  </si>
  <si>
    <t>00524M</t>
  </si>
  <si>
    <t xml:space="preserve"> STORM SEWER PIPE-600 MM</t>
  </si>
  <si>
    <t xml:space="preserve"> STORM SEWER PIPE-27 INCH</t>
  </si>
  <si>
    <t>00525M</t>
  </si>
  <si>
    <t xml:space="preserve"> STORM SEWER PIPE-675 MM</t>
  </si>
  <si>
    <t xml:space="preserve"> STORM SEWER PIPE-30 INCH</t>
  </si>
  <si>
    <t>00526M</t>
  </si>
  <si>
    <t xml:space="preserve"> STORM SEWER PIPE-750 MM</t>
  </si>
  <si>
    <t xml:space="preserve"> STORM SEWER PIPE-36 INCH</t>
  </si>
  <si>
    <t>00528M</t>
  </si>
  <si>
    <t xml:space="preserve"> STORM SEWER PIPE-900 MM</t>
  </si>
  <si>
    <t xml:space="preserve"> STORM SEWER PIPE-42 INCH</t>
  </si>
  <si>
    <t>00529M</t>
  </si>
  <si>
    <t xml:space="preserve"> STORM SEWER PIPE-1050 MM</t>
  </si>
  <si>
    <t xml:space="preserve"> STORM SEWER PIPE-48 INCH</t>
  </si>
  <si>
    <t>00530M</t>
  </si>
  <si>
    <t xml:space="preserve"> STORM SEWER PIPE-1200 MM</t>
  </si>
  <si>
    <t xml:space="preserve"> STORM SEWER PIPE-54 INCH</t>
  </si>
  <si>
    <t>00531M</t>
  </si>
  <si>
    <t xml:space="preserve"> STORM SEWER PIPE-1350 MM</t>
  </si>
  <si>
    <t xml:space="preserve"> STORM SEWER PIPE-60 INCH</t>
  </si>
  <si>
    <t>00532M</t>
  </si>
  <si>
    <t xml:space="preserve"> STORM SEWER PIPE-1500 MM</t>
  </si>
  <si>
    <t>Machine Prep of Slab</t>
  </si>
  <si>
    <t>Precast PC I Beam Type 2</t>
  </si>
  <si>
    <t>Precast PC I Beam Type 3</t>
  </si>
  <si>
    <t>Precast PC I Beam Type 4</t>
  </si>
  <si>
    <t>Precast PC I Beam Type 5</t>
  </si>
  <si>
    <t>Precast PC I Beam Type 6</t>
  </si>
  <si>
    <t>Precast PC I Beam Type 7</t>
  </si>
  <si>
    <t>Precast PC I Beam Type 8</t>
  </si>
  <si>
    <t>Precast PC I Beam Type 9</t>
  </si>
  <si>
    <t>Precast PC Box Beam B12-48</t>
  </si>
  <si>
    <t>Precast PC Box Beam B17-48</t>
  </si>
  <si>
    <t>Precast PC Box Beam B21-48</t>
  </si>
  <si>
    <t>Precast PC Box Beam B27-48</t>
  </si>
  <si>
    <t>Precast PC Box Beam B33-48</t>
  </si>
  <si>
    <t>Precast PC Box Beam B42-48</t>
  </si>
  <si>
    <t>Precast PC Box Beam CB12-48</t>
  </si>
  <si>
    <t>Precast PC Box Beam CB17-48</t>
  </si>
  <si>
    <t>Precast PC Box Beam CB21-48</t>
  </si>
  <si>
    <t>Precast PC Box Beam CB27-48</t>
  </si>
  <si>
    <t>Precast PC Box Beam CB33-48</t>
  </si>
  <si>
    <t>Precast PC Box Beam CB42-48</t>
  </si>
  <si>
    <t>Precast PC Box Beam SB12-48</t>
  </si>
  <si>
    <t>Precast PC Box Beam SB17-48</t>
  </si>
  <si>
    <t>Natural Scale Elev.</t>
  </si>
  <si>
    <t>Plan Under</t>
  </si>
  <si>
    <t>Typical Section of Structure</t>
  </si>
  <si>
    <t>Profile Under</t>
  </si>
  <si>
    <t>Cost Estimate</t>
  </si>
  <si>
    <t>Section Under</t>
  </si>
  <si>
    <t>Alternate Estimate</t>
  </si>
  <si>
    <t>2.</t>
  </si>
  <si>
    <t>Check folders for correct project, item and drawing numbers (and station).  List the added data necessary for this review:</t>
  </si>
  <si>
    <t>3.</t>
  </si>
  <si>
    <t>Has recommended opening been reviewed and approved by the Division of Highway Design's Drainage Section?</t>
  </si>
  <si>
    <t>4.</t>
  </si>
  <si>
    <t>Is there a horizontal curve within 500 feet of the bridge?</t>
  </si>
  <si>
    <t>If yes, check for runoff and runout information</t>
  </si>
  <si>
    <t>5.</t>
  </si>
  <si>
    <t>What is the estimated cost per square feet of the bridge deck?</t>
  </si>
  <si>
    <t>6.</t>
  </si>
  <si>
    <t>Is data in accordance with Design Executive Summary?</t>
  </si>
  <si>
    <t>7.</t>
  </si>
  <si>
    <t>Has consultant been given contract for final structure plans?</t>
  </si>
  <si>
    <t>8.</t>
  </si>
  <si>
    <t>Have all railroad clearance requirements been requested and received?</t>
  </si>
  <si>
    <t>9.</t>
  </si>
  <si>
    <t xml:space="preserve"> BEND 22.50 DEG 16 INCH</t>
  </si>
  <si>
    <t>03552M</t>
  </si>
  <si>
    <t xml:space="preserve"> BEND 22.50 DEG 400 MM</t>
  </si>
  <si>
    <t xml:space="preserve"> BEND 45 DEG 4 INCH</t>
  </si>
  <si>
    <t>03553M</t>
  </si>
  <si>
    <t xml:space="preserve"> BEND 45 DEG 100 MM</t>
  </si>
  <si>
    <t xml:space="preserve"> BEND 45 DEG 6 INCH</t>
  </si>
  <si>
    <t>03554M</t>
  </si>
  <si>
    <t xml:space="preserve"> BEND 45 DEG 150 MM</t>
  </si>
  <si>
    <t xml:space="preserve"> BEND 45 DEG 10 INCH</t>
  </si>
  <si>
    <t>03555M</t>
  </si>
  <si>
    <t xml:space="preserve"> BEND 45 DEG 250 MM</t>
  </si>
  <si>
    <t xml:space="preserve"> BEND 45 DEG 12 INCH</t>
  </si>
  <si>
    <t>03556M</t>
  </si>
  <si>
    <t xml:space="preserve"> BEND 45 DEG 300 MM</t>
  </si>
  <si>
    <t xml:space="preserve"> BEND 45 DEG 14 INCH</t>
  </si>
  <si>
    <t>03557M</t>
  </si>
  <si>
    <t xml:space="preserve"> BEND 45 DEG 350 MM</t>
  </si>
  <si>
    <t xml:space="preserve"> BEND 45 DEG 16 INCH</t>
  </si>
  <si>
    <t>03558M</t>
  </si>
  <si>
    <t xml:space="preserve"> BEND 45 DEG 400 MM</t>
  </si>
  <si>
    <t xml:space="preserve"> BEND 90 DEG 4 INCH</t>
  </si>
  <si>
    <t>03559M</t>
  </si>
  <si>
    <t xml:space="preserve"> BEND 90 DEG 100 MM</t>
  </si>
  <si>
    <t xml:space="preserve"> BEND 90 DEG 6 INCH</t>
  </si>
  <si>
    <t>03560M</t>
  </si>
  <si>
    <t xml:space="preserve"> BEND 90 DEG 150 MM</t>
  </si>
  <si>
    <t xml:space="preserve"> BEND 90 DEG 10 INCH</t>
  </si>
  <si>
    <t>03561M</t>
  </si>
  <si>
    <t xml:space="preserve"> BEND 90 DEG 250 MM</t>
  </si>
  <si>
    <t xml:space="preserve"> BEND 90 DEG 12 INCH</t>
  </si>
  <si>
    <t>03562M</t>
  </si>
  <si>
    <t xml:space="preserve"> BEND 90 DEG 300 MM</t>
  </si>
  <si>
    <t xml:space="preserve"> BEND 45 DEG 8 INCH</t>
  </si>
  <si>
    <t>03563M</t>
  </si>
  <si>
    <t xml:space="preserve"> BEND 45 DEG 200 MM</t>
  </si>
  <si>
    <t xml:space="preserve"> BEND 90 DEG 14 INCH</t>
  </si>
  <si>
    <t>03564M</t>
  </si>
  <si>
    <t xml:space="preserve"> BEND 90 DEG 350 MM</t>
  </si>
  <si>
    <t xml:space="preserve"> BEND 90 DEG 16 INCH</t>
  </si>
  <si>
    <t>03565M</t>
  </si>
  <si>
    <t xml:space="preserve"> BEND 90 DEG 400 MM</t>
  </si>
  <si>
    <t xml:space="preserve"> BEND 90 DEG 8 INCH</t>
  </si>
  <si>
    <t>03570M</t>
  </si>
  <si>
    <t xml:space="preserve"> BEND 90 DEG 200 MM</t>
  </si>
  <si>
    <t xml:space="preserve"> TEE AND BLOCK</t>
  </si>
  <si>
    <t xml:space="preserve"> BEND AND BLOCK</t>
  </si>
  <si>
    <t xml:space="preserve"> BEND 22.50 DEG 15 INCH</t>
  </si>
  <si>
    <t xml:space="preserve"> BEND 22.50 DEG 375 MM</t>
  </si>
  <si>
    <t xml:space="preserve"> POLE 30 FT MTG HT</t>
  </si>
  <si>
    <t>04700M</t>
  </si>
  <si>
    <t xml:space="preserve"> POLE 9.1 MTG HT</t>
  </si>
  <si>
    <t xml:space="preserve"> POLE 40 FT MTG HT</t>
  </si>
  <si>
    <t>04701M</t>
  </si>
  <si>
    <t xml:space="preserve"> POLE 12.2 MTG HT</t>
  </si>
  <si>
    <t xml:space="preserve"> POLE 80 FT MTG HT HIGH MAST</t>
  </si>
  <si>
    <t>04710M</t>
  </si>
  <si>
    <t xml:space="preserve"> POLE 24.4 MTG HT HIGH MAST</t>
  </si>
  <si>
    <t xml:space="preserve"> POLE 90 FT MTG HT HIGH MAST</t>
  </si>
  <si>
    <t>04711M</t>
  </si>
  <si>
    <t xml:space="preserve"> POLE 27.4 MTG HT HIGH MAST</t>
  </si>
  <si>
    <t xml:space="preserve"> POLE 100 FT MTG HT HIGH MAST</t>
  </si>
  <si>
    <t>04712M</t>
  </si>
  <si>
    <t xml:space="preserve"> POLE 30.5 MTG HT HIGH MAST</t>
  </si>
  <si>
    <t xml:space="preserve"> POLE 110 FT MTG HT HIGH MAST</t>
  </si>
  <si>
    <t>04713M</t>
  </si>
  <si>
    <t xml:space="preserve"> POLE 33.5 MTG HT HIGH MAST</t>
  </si>
  <si>
    <t xml:space="preserve"> POLE 120 FT MTG HT HIGH MAST</t>
  </si>
  <si>
    <t>04714M</t>
  </si>
  <si>
    <t xml:space="preserve"> POLE 36.6 MTG HT HIGH MAST</t>
  </si>
  <si>
    <t xml:space="preserve"> BRACKET 4 FT</t>
  </si>
  <si>
    <t>04720M</t>
  </si>
  <si>
    <t xml:space="preserve"> BRACKET 1.2 M</t>
  </si>
  <si>
    <t xml:space="preserve"> BRACKET 6 FT</t>
  </si>
  <si>
    <t>04721M</t>
  </si>
  <si>
    <t xml:space="preserve"> BRACKET 1.8 M</t>
  </si>
  <si>
    <t xml:space="preserve"> BRACKET 8 FT</t>
  </si>
  <si>
    <t>04722M</t>
  </si>
  <si>
    <t xml:space="preserve"> BRACKET 2.4 M</t>
  </si>
  <si>
    <t xml:space="preserve"> BRACKET 10 FT</t>
  </si>
  <si>
    <t>04723M</t>
  </si>
  <si>
    <t xml:space="preserve"> BRACKET 3.0 M</t>
  </si>
  <si>
    <t xml:space="preserve"> BRACKET 12 FT</t>
  </si>
  <si>
    <t>04724M</t>
  </si>
  <si>
    <t xml:space="preserve"> BRACKET 3.7 M</t>
  </si>
  <si>
    <t xml:space="preserve"> BRACKET 15 FT</t>
  </si>
  <si>
    <t>04725M</t>
  </si>
  <si>
    <t xml:space="preserve"> BRACKET 4.6 M</t>
  </si>
  <si>
    <t xml:space="preserve"> BRACKET C</t>
  </si>
  <si>
    <t xml:space="preserve"> POLE BASE</t>
  </si>
  <si>
    <t xml:space="preserve"> POLE BASE IN MEDIAN WALL</t>
  </si>
  <si>
    <t xml:space="preserve"> POLE BASE-HIGH MAST</t>
  </si>
  <si>
    <t>Continuous for Live Load</t>
  </si>
  <si>
    <t>IEB</t>
  </si>
  <si>
    <t>COLOR SCHEME :</t>
  </si>
  <si>
    <t>Red - input by user</t>
  </si>
  <si>
    <t>Blue - auto-input by Excel</t>
  </si>
  <si>
    <t>Green - calculated by Excel</t>
  </si>
  <si>
    <t>Black - form text</t>
  </si>
  <si>
    <t>INSTRUCTIONS</t>
  </si>
  <si>
    <t xml:space="preserve">This spreadsheet workbook is capable of handling 1 Bridge and 5 Culverts with general information.  </t>
  </si>
  <si>
    <t xml:space="preserve">Fill out the INPUT and BRIDGE QUANTITIES sheets carefully as these cells populate cells on other forms on separate sheets.  Some cells affect more than one form.  </t>
  </si>
  <si>
    <t xml:space="preserve">If a number is too big to fit in it's cell you'll see (####) in that cell.  To correct, highlight the cell and change the font to a smaller size.                  </t>
  </si>
  <si>
    <t>see below for culverts</t>
  </si>
  <si>
    <t>deg</t>
  </si>
  <si>
    <t>ft</t>
  </si>
  <si>
    <r>
      <t xml:space="preserve">It is best to start work on a </t>
    </r>
    <r>
      <rPr>
        <b/>
        <sz val="10"/>
        <rFont val="Arial"/>
        <family val="2"/>
      </rPr>
      <t>BASE FILE</t>
    </r>
    <r>
      <rPr>
        <sz val="10"/>
        <rFont val="Arial"/>
        <family val="0"/>
      </rPr>
      <t xml:space="preserve"> with all inputs filled in to easily see where </t>
    </r>
    <r>
      <rPr>
        <sz val="10"/>
        <color indexed="10"/>
        <rFont val="Arial"/>
        <family val="2"/>
      </rPr>
      <t>red input</t>
    </r>
    <r>
      <rPr>
        <sz val="10"/>
        <rFont val="Arial"/>
        <family val="0"/>
      </rPr>
      <t xml:space="preserve"> needs to be edited:</t>
    </r>
  </si>
  <si>
    <r>
      <t></t>
    </r>
    <r>
      <rPr>
        <sz val="10"/>
        <rFont val="Arial"/>
        <family val="0"/>
      </rPr>
      <t xml:space="preserve"> open a base file, </t>
    </r>
  </si>
  <si>
    <r>
      <t></t>
    </r>
    <r>
      <rPr>
        <sz val="10"/>
        <rFont val="Arial"/>
        <family val="0"/>
      </rPr>
      <t xml:space="preserve"> SAVE AS with a new file name,</t>
    </r>
  </si>
  <si>
    <r>
      <t></t>
    </r>
    <r>
      <rPr>
        <sz val="10"/>
        <rFont val="Arial"/>
        <family val="0"/>
      </rPr>
      <t xml:space="preserve"> edit the </t>
    </r>
    <r>
      <rPr>
        <sz val="10"/>
        <color indexed="10"/>
        <rFont val="Arial"/>
        <family val="2"/>
      </rPr>
      <t>red input</t>
    </r>
    <r>
      <rPr>
        <sz val="10"/>
        <rFont val="Arial"/>
        <family val="0"/>
      </rPr>
      <t>,</t>
    </r>
  </si>
  <si>
    <r>
      <t></t>
    </r>
    <r>
      <rPr>
        <sz val="10"/>
        <rFont val="Arial"/>
        <family val="0"/>
      </rPr>
      <t xml:space="preserve"> delete any extraneous </t>
    </r>
    <r>
      <rPr>
        <sz val="10"/>
        <color indexed="10"/>
        <rFont val="Arial"/>
        <family val="2"/>
      </rPr>
      <t>red input</t>
    </r>
    <r>
      <rPr>
        <sz val="10"/>
        <rFont val="Arial"/>
        <family val="0"/>
      </rPr>
      <t>,</t>
    </r>
  </si>
  <si>
    <r>
      <t></t>
    </r>
    <r>
      <rPr>
        <sz val="10"/>
        <rFont val="Arial"/>
        <family val="0"/>
      </rPr>
      <t xml:space="preserve"> review all sheets and SAVE.  </t>
    </r>
  </si>
  <si>
    <r>
      <t xml:space="preserve">Not all </t>
    </r>
    <r>
      <rPr>
        <b/>
        <sz val="10"/>
        <rFont val="Arial"/>
        <family val="2"/>
      </rPr>
      <t>Standard Drawings</t>
    </r>
    <r>
      <rPr>
        <sz val="10"/>
        <rFont val="Arial"/>
        <family val="0"/>
      </rPr>
      <t xml:space="preserve"> are listed here - some may have to be entered manually on the Bridge &amp; Culvert Summary.</t>
    </r>
  </si>
  <si>
    <r>
      <t xml:space="preserve">Each sheet is formatted to </t>
    </r>
    <r>
      <rPr>
        <b/>
        <sz val="10"/>
        <rFont val="Arial"/>
        <family val="2"/>
      </rPr>
      <t>print</t>
    </r>
    <r>
      <rPr>
        <sz val="10"/>
        <rFont val="Arial"/>
        <family val="0"/>
      </rPr>
      <t xml:space="preserve"> on 8.5"x11" paper.  Print each sheet as needed and not the entire workbook.</t>
    </r>
  </si>
  <si>
    <t>SPANS</t>
  </si>
  <si>
    <t>PIERS</t>
  </si>
  <si>
    <t>ABUTS</t>
  </si>
  <si>
    <t>SPECIAL FEATURES</t>
  </si>
  <si>
    <t>Span
#</t>
  </si>
  <si>
    <t>STANDARD DRAWINGS</t>
  </si>
  <si>
    <t>Drwg. Number</t>
  </si>
  <si>
    <t>Description</t>
  </si>
  <si>
    <t>Hour Estimates for Structure Design</t>
  </si>
  <si>
    <t>Number of Spans =</t>
  </si>
  <si>
    <t>Structure Component Description</t>
  </si>
  <si>
    <t>Number</t>
  </si>
  <si>
    <t>Total</t>
  </si>
  <si>
    <t>Design Hrs</t>
  </si>
  <si>
    <t>Backck Design</t>
  </si>
  <si>
    <t>Detailing Hrs</t>
  </si>
  <si>
    <t>Backck Details</t>
  </si>
  <si>
    <t>Hrs Each</t>
  </si>
  <si>
    <t>Substructures</t>
  </si>
  <si>
    <t>Breastwall Abutment</t>
  </si>
  <si>
    <t>Spill-Thru Abutment</t>
  </si>
  <si>
    <t>Stub Abutment</t>
  </si>
  <si>
    <t xml:space="preserve">Single Row Pile End Bent </t>
  </si>
  <si>
    <t>Multiple Row Pile End Bent</t>
  </si>
  <si>
    <t>Integral or Semi Integral End Bent</t>
  </si>
  <si>
    <t>Intermediate Pile Bent</t>
  </si>
  <si>
    <t>Single Column Pier</t>
  </si>
  <si>
    <t>Are there enough prints for review by all agencies?</t>
  </si>
  <si>
    <t>Railroad (3)</t>
  </si>
  <si>
    <t>Other</t>
  </si>
  <si>
    <t>Coast Guard (Req'd Dwgs.)</t>
  </si>
  <si>
    <t>Lincoln</t>
  </si>
  <si>
    <t>x</t>
  </si>
  <si>
    <t>8-163.00</t>
  </si>
  <si>
    <t>US 150</t>
  </si>
  <si>
    <t>Flax Creek</t>
  </si>
  <si>
    <t>SE of Crab Orchard</t>
  </si>
  <si>
    <t>Crab Orchard - Mt Vernon Road</t>
  </si>
  <si>
    <t>PCIB Type 3</t>
  </si>
  <si>
    <t>167+50.000</t>
  </si>
  <si>
    <t>Rt</t>
  </si>
  <si>
    <t>straight bridge parallel to chord of spiral</t>
  </si>
  <si>
    <t>Rural Arterial</t>
  </si>
  <si>
    <t>Rail System Type 3</t>
  </si>
  <si>
    <t>Treatment of Embankments at End Bents</t>
  </si>
  <si>
    <t>C1</t>
  </si>
  <si>
    <t>Municipal Engineering Co.</t>
  </si>
  <si>
    <t xml:space="preserve"> CL3 ASPH BASE 0.75C PG70-22</t>
  </si>
  <si>
    <t xml:space="preserve"> CL3 ASPH BASE 0.75C PG64-22</t>
  </si>
  <si>
    <t xml:space="preserve"> CONNECT TO 8"</t>
  </si>
  <si>
    <t xml:space="preserve"> SMA BASE(EXP)</t>
  </si>
  <si>
    <t xml:space="preserve"> SMA SURFACE(EXP)</t>
  </si>
  <si>
    <t xml:space="preserve"> REM G/R AND STOCKPILE</t>
  </si>
  <si>
    <t xml:space="preserve"> STRUCTURE EXCAVATION-COMMON</t>
  </si>
  <si>
    <t>08001M</t>
  </si>
  <si>
    <t>Transmit to Railroad one print of each railroad grade separation.</t>
  </si>
  <si>
    <t>Verify completeness of presentation using Form 66-115.  Make certain that electronic files are included.</t>
  </si>
  <si>
    <t>ADMINISTRATIVE SECTION</t>
  </si>
  <si>
    <t>Include electronic versions of Close-Out Forms and Estimate in the archive records.</t>
  </si>
  <si>
    <t>Include any electronic versions of special notes specific to this project into the archive records.</t>
  </si>
  <si>
    <t>Are locations for epoxy-coated reinforcement in accordance with Guidance Manual Articles 66-05.0114 and 66-05.0280?</t>
  </si>
  <si>
    <t>If so, do not allow spillage on railroad or roadway.  If piping is used, check to see that adequate couplings and joints are employed.</t>
  </si>
  <si>
    <t>Does the elevation table include centerline of bearing at abutments, centerline of pier, and end of slab at both gutter lines?</t>
  </si>
  <si>
    <t>Confer with Review Section Engineer regarding suggested plan changes; add delete, or modify suggestions and either initial Form TC 66-115 as approved or request additional review and approval from the office of the Director.</t>
  </si>
  <si>
    <t>Return one copy of final plan items and the Project Summary Sheet to design section or consultant by letter or by memorandum explaining modifications, when explanation seems necessary, and qualifying the degree of approval granted by the review.</t>
  </si>
  <si>
    <t>FHWA (1)</t>
  </si>
  <si>
    <t>Layout Sheet</t>
  </si>
  <si>
    <t>Foundation Layout Sheet</t>
  </si>
  <si>
    <t>General Note Sheet</t>
  </si>
  <si>
    <t>Approach Slab Sheet</t>
  </si>
  <si>
    <t>Miscellaneous Design Multipliers</t>
  </si>
  <si>
    <t>Skewed Bridge</t>
  </si>
  <si>
    <t>Curved Bridge</t>
  </si>
  <si>
    <t>Phased Construction</t>
  </si>
  <si>
    <t>Twin Structure</t>
  </si>
  <si>
    <t>Bridge Design Target Total Hours</t>
  </si>
  <si>
    <t>Bridge Design Actual Total Hours</t>
  </si>
  <si>
    <t>EARTHWORK</t>
  </si>
  <si>
    <t>Unit</t>
  </si>
  <si>
    <t>Code</t>
  </si>
  <si>
    <t>PILING</t>
  </si>
  <si>
    <t xml:space="preserve"> OSS ALUMINUM 95 FT TRUSS</t>
  </si>
  <si>
    <t>06453M</t>
  </si>
  <si>
    <t xml:space="preserve"> OSS ALUMINUM 29.0 M TRUSS</t>
  </si>
  <si>
    <t xml:space="preserve"> OSS ALUMINUM 100 FT TRUSS</t>
  </si>
  <si>
    <t>06455M</t>
  </si>
  <si>
    <t xml:space="preserve"> OSS ALUMINUM 30.5 M TRUSS</t>
  </si>
  <si>
    <t xml:space="preserve"> OSS ALUMINUM 105 FT TRUSS</t>
  </si>
  <si>
    <t>06457M</t>
  </si>
  <si>
    <t xml:space="preserve"> OSS ALUMINUM 32.0 M TRUSS</t>
  </si>
  <si>
    <t xml:space="preserve"> OSS ALUMINUM 110 FT TRUSS</t>
  </si>
  <si>
    <t>06459M</t>
  </si>
  <si>
    <t xml:space="preserve"> OSS ALUMINUM 33.5 M TRUSS</t>
  </si>
  <si>
    <t xml:space="preserve"> OSS ALUMINUM 115 FT TRUSS</t>
  </si>
  <si>
    <t>06461M</t>
  </si>
  <si>
    <t xml:space="preserve"> OSS ALUMINUM 35.1 M TRUSS</t>
  </si>
  <si>
    <t xml:space="preserve"> OSS ALUMINUM 120 FT TRUSS</t>
  </si>
  <si>
    <t>06463M</t>
  </si>
  <si>
    <t xml:space="preserve"> OSS ALUMINUM 36.6 M TRUSS</t>
  </si>
  <si>
    <t xml:space="preserve"> OSS ALUMINUM 125 FT TRUSS</t>
  </si>
  <si>
    <t>06465M</t>
  </si>
  <si>
    <t xml:space="preserve"> OSS ALUMINUM 38.1 M TRUSS</t>
  </si>
  <si>
    <t xml:space="preserve"> OSS ALUMINUM 130 FT TRUSS</t>
  </si>
  <si>
    <t>06467M</t>
  </si>
  <si>
    <t xml:space="preserve"> OSS ALUMINUM 39.6 M TRUSS</t>
  </si>
  <si>
    <t xml:space="preserve"> OSS ALUMINUM 135 FT TRUSS</t>
  </si>
  <si>
    <t>06469M</t>
  </si>
  <si>
    <t xml:space="preserve"> OSS ALUMINUM 41.1 M TRUSS</t>
  </si>
  <si>
    <t xml:space="preserve"> OSS ALUMINUM 140 FT TRUSS</t>
  </si>
  <si>
    <t>06471M</t>
  </si>
  <si>
    <t xml:space="preserve"> OSS ALUMINUM 42.7 M TRUSS</t>
  </si>
  <si>
    <t xml:space="preserve"> INSTALL SPAN MOUNTED SIGN</t>
  </si>
  <si>
    <t xml:space="preserve"> RENEW SIGN ALT A REFURBISH</t>
  </si>
  <si>
    <t>06488M</t>
  </si>
  <si>
    <t xml:space="preserve"> RENEW SIGN ALT B REPLACE</t>
  </si>
  <si>
    <t>06489M</t>
  </si>
  <si>
    <t xml:space="preserve"> CLASS A CONCRETE FOR SIGNS</t>
  </si>
  <si>
    <t>06490M</t>
  </si>
  <si>
    <t xml:space="preserve"> STEEL REINFORCEMENT FOR SIGNS</t>
  </si>
  <si>
    <t>06491M</t>
  </si>
  <si>
    <t xml:space="preserve"> DUCTILE IRON PIPE-10 INCH</t>
  </si>
  <si>
    <t>01097M</t>
  </si>
  <si>
    <t xml:space="preserve"> DUCTILE IRON PIPE-250 MM</t>
  </si>
  <si>
    <t xml:space="preserve"> DUCTILE IRON PIPE-12 INCH</t>
  </si>
  <si>
    <t>01099M</t>
  </si>
  <si>
    <t xml:space="preserve"> DUCTILE IRON PIPE-300 MM</t>
  </si>
  <si>
    <t xml:space="preserve"> DUCTILE IRON PIPE-14 INCH</t>
  </si>
  <si>
    <t>01101M</t>
  </si>
  <si>
    <t xml:space="preserve"> DUCTILE IRON PIPE-350 MM</t>
  </si>
  <si>
    <t xml:space="preserve"> DUCTILE IRON PIPE-16 INCH</t>
  </si>
  <si>
    <t>01103M</t>
  </si>
  <si>
    <t xml:space="preserve"> DUCTILE IRON PIPE-400 MM</t>
  </si>
  <si>
    <t xml:space="preserve"> DUCTILE IRON PIPE-18 INCH</t>
  </si>
  <si>
    <t>01105M</t>
  </si>
  <si>
    <t xml:space="preserve"> DUCTILE IRON PIPE-450 MM</t>
  </si>
  <si>
    <t xml:space="preserve"> DUCTILE IRON PIPE-24 INCH</t>
  </si>
  <si>
    <t>01111M</t>
  </si>
  <si>
    <t xml:space="preserve"> DUCTILE IRON PIPE-600 MM</t>
  </si>
  <si>
    <t xml:space="preserve"> CAST IRON PIPE-4 INCH</t>
  </si>
  <si>
    <t>01121M</t>
  </si>
  <si>
    <t xml:space="preserve"> CAST IRON PIPE-100 MM</t>
  </si>
  <si>
    <t xml:space="preserve"> CAST IRON PIPE-6 INCH</t>
  </si>
  <si>
    <t>01123M</t>
  </si>
  <si>
    <t xml:space="preserve"> CAST IRON PIPE-150 MM</t>
  </si>
  <si>
    <t xml:space="preserve"> CAST IRON PIPE-8 INCH</t>
  </si>
  <si>
    <t>01125M</t>
  </si>
  <si>
    <t xml:space="preserve"> CAST IRON PIPE-200 MM</t>
  </si>
  <si>
    <t xml:space="preserve"> FARM DRAIN TILE-4 INCH</t>
  </si>
  <si>
    <t>01138M</t>
  </si>
  <si>
    <t xml:space="preserve"> FARM DRAIN TILE-100 MM</t>
  </si>
  <si>
    <t xml:space="preserve"> REMOVE PIPE</t>
  </si>
  <si>
    <t>01310M</t>
  </si>
  <si>
    <t xml:space="preserve"> RELAY PIPE</t>
  </si>
  <si>
    <t>01311M</t>
  </si>
  <si>
    <t xml:space="preserve"> REMOVE AND RELAY PIPE</t>
  </si>
  <si>
    <t>01312M</t>
  </si>
  <si>
    <t xml:space="preserve"> PLUG PIPE</t>
  </si>
  <si>
    <t xml:space="preserve"> BLOW-OFF ASSEMBLY</t>
  </si>
  <si>
    <t xml:space="preserve"> METAL END SECTION TY 1-15 INCH</t>
  </si>
  <si>
    <t>01370M</t>
  </si>
  <si>
    <t xml:space="preserve"> METAL END SECTION TY 1-375 MM</t>
  </si>
  <si>
    <t xml:space="preserve"> METAL END SECTION TY 1-18 INCH</t>
  </si>
  <si>
    <t>01371M</t>
  </si>
  <si>
    <t xml:space="preserve"> METAL END SECTION TY 1-450 MM</t>
  </si>
  <si>
    <t xml:space="preserve"> METAL END SECTION TY 1-21 INCH</t>
  </si>
  <si>
    <t>01372M</t>
  </si>
  <si>
    <t xml:space="preserve"> METAL END SECTION TY 1-525 MM</t>
  </si>
  <si>
    <t xml:space="preserve"> METAL END SECTION TY 1-24 INCH</t>
  </si>
  <si>
    <t>01373M</t>
  </si>
  <si>
    <t xml:space="preserve"> METAL END SECTION TY 1-600 MM</t>
  </si>
  <si>
    <t xml:space="preserve"> METAL END SECTION TY 1-30 INCH</t>
  </si>
  <si>
    <t>01374M</t>
  </si>
  <si>
    <t xml:space="preserve"> METAL END SECTION TY 1-750 MM</t>
  </si>
  <si>
    <t xml:space="preserve"> METAL END SECTION TY 1-36 INCH</t>
  </si>
  <si>
    <t>01375M</t>
  </si>
  <si>
    <t xml:space="preserve"> METAL END SECTION TY 1-900 MM</t>
  </si>
  <si>
    <t xml:space="preserve"> METAL END SECTION TY 1-42 INCH</t>
  </si>
  <si>
    <t>01376M</t>
  </si>
  <si>
    <t xml:space="preserve"> METAL END SECTION TY 1-1050 MM</t>
  </si>
  <si>
    <t xml:space="preserve"> METAL END SECTION TY 1-48 INCH</t>
  </si>
  <si>
    <t>01377M</t>
  </si>
  <si>
    <t xml:space="preserve"> METAL END SECTION TY 1-1200 MM</t>
  </si>
  <si>
    <t xml:space="preserve"> METAL END SECTION TY 1-54 INCH</t>
  </si>
  <si>
    <t>01378M</t>
  </si>
  <si>
    <t xml:space="preserve"> METAL END SECTION TY 1-1350 MM</t>
  </si>
  <si>
    <t xml:space="preserve"> METAL END SECTION TY 1-60 INCH</t>
  </si>
  <si>
    <t>Rail System Type III</t>
  </si>
  <si>
    <t xml:space="preserve"> GATE VALVE-75 MM</t>
  </si>
  <si>
    <t xml:space="preserve"> GATE VALVE-4 INCH</t>
  </si>
  <si>
    <t>03524M</t>
  </si>
  <si>
    <t xml:space="preserve"> GATE VALVE-100 MM</t>
  </si>
  <si>
    <t xml:space="preserve"> GATE VALVE-6 INCH</t>
  </si>
  <si>
    <t>03526M</t>
  </si>
  <si>
    <t xml:space="preserve"> GATE VALVE-150 MM</t>
  </si>
  <si>
    <t xml:space="preserve"> METAL END SECTION TY 1-1500 MM</t>
  </si>
  <si>
    <t xml:space="preserve"> METAL END SECTION TY 2-15 INCH</t>
  </si>
  <si>
    <t>01380M</t>
  </si>
  <si>
    <t xml:space="preserve"> METAL END SECTION TY 2-375 MM</t>
  </si>
  <si>
    <t xml:space="preserve"> METAL END SECTION TY 2-18 INCH</t>
  </si>
  <si>
    <t>01381M</t>
  </si>
  <si>
    <t xml:space="preserve"> METAL END SECTION TY 2-450 MM</t>
  </si>
  <si>
    <t xml:space="preserve"> METAL END SECTION TY 2-21 INCH</t>
  </si>
  <si>
    <t>01382M</t>
  </si>
  <si>
    <t xml:space="preserve"> METAL END SECTION TY 2-525 MM</t>
  </si>
  <si>
    <t xml:space="preserve"> METAL END SECTION TY 2-24 INCH</t>
  </si>
  <si>
    <t>01383M</t>
  </si>
  <si>
    <t xml:space="preserve"> METAL END SECTION TY 2-600 MM</t>
  </si>
  <si>
    <t xml:space="preserve"> METAL END SECTION TY 3-15 INCH</t>
  </si>
  <si>
    <t>01390M</t>
  </si>
  <si>
    <t xml:space="preserve"> METAL END SECTION TY 3-375 MM</t>
  </si>
  <si>
    <t xml:space="preserve"> METAL END SECTION TY 3-18 INCH</t>
  </si>
  <si>
    <t>01391M</t>
  </si>
  <si>
    <t xml:space="preserve"> METAL END SECTION TY 3-450 MM</t>
  </si>
  <si>
    <t xml:space="preserve"> METAL END SECTION TY 3-21 INCH</t>
  </si>
  <si>
    <t>01392M</t>
  </si>
  <si>
    <t xml:space="preserve"> METAL END SECTION TY 3-525 MM</t>
  </si>
  <si>
    <t xml:space="preserve"> METAL END SECTION TY 3-24 INCH</t>
  </si>
  <si>
    <t>01393M</t>
  </si>
  <si>
    <t xml:space="preserve"> METAL END SECTION TY 3-600 MM</t>
  </si>
  <si>
    <t xml:space="preserve"> METAL END SECTION TY 3-30 INCH</t>
  </si>
  <si>
    <t>01394M</t>
  </si>
  <si>
    <t xml:space="preserve"> METAL END SECTION TY 3-750 MM</t>
  </si>
  <si>
    <t xml:space="preserve"> METAL END SECTION TY 3-36 INCH</t>
  </si>
  <si>
    <t>01395M</t>
  </si>
  <si>
    <t xml:space="preserve"> METAL END SECTION TY 3-900 MM</t>
  </si>
  <si>
    <t xml:space="preserve"> METAL END SECTION TY 3-42 INCH</t>
  </si>
  <si>
    <t>01396M</t>
  </si>
  <si>
    <t xml:space="preserve"> METAL END SECTION TY 3-1050 MM</t>
  </si>
  <si>
    <t xml:space="preserve"> METAL END SECTION TY 3-48 INCH</t>
  </si>
  <si>
    <t>01397M</t>
  </si>
  <si>
    <t xml:space="preserve"> METAL END SECTION TY 3-1200 MM</t>
  </si>
  <si>
    <t xml:space="preserve"> METAL END SECTION TY 3-54 INCH</t>
  </si>
  <si>
    <t>01398M</t>
  </si>
  <si>
    <t xml:space="preserve"> METAL END SECTION TY 3-1350 MM</t>
  </si>
  <si>
    <t xml:space="preserve"> METAL END SECTION TY 3-60 INCH</t>
  </si>
  <si>
    <t>01399M</t>
  </si>
  <si>
    <t xml:space="preserve"> METAL END SECTION TY 3-1500 MM</t>
  </si>
  <si>
    <t xml:space="preserve"> METAL END SECTION TY 4-15 INCH</t>
  </si>
  <si>
    <t>01410M</t>
  </si>
  <si>
    <t>TC 66-110</t>
  </si>
  <si>
    <t>Situation Survey Review - Bridge Design</t>
  </si>
  <si>
    <t>Situation By</t>
  </si>
  <si>
    <t>Reviewed By</t>
  </si>
  <si>
    <t>Review Date</t>
  </si>
  <si>
    <t>GENERAL</t>
  </si>
  <si>
    <t>1.</t>
  </si>
  <si>
    <t>Does the situation folder provide for the following:</t>
  </si>
  <si>
    <t>Roadway Plan Over</t>
  </si>
  <si>
    <t>Yes</t>
  </si>
  <si>
    <t>No</t>
  </si>
  <si>
    <t>Site Contours</t>
  </si>
  <si>
    <t>Roadway Profile Over</t>
  </si>
  <si>
    <t>Architectural Details</t>
  </si>
  <si>
    <t>Design Exec. Sum. (TC 61-9)</t>
  </si>
  <si>
    <t>08651M</t>
  </si>
  <si>
    <t xml:space="preserve"> PRECAST PC BOX BEAM B305</t>
  </si>
  <si>
    <t xml:space="preserve"> PRECAST PC BOX BEAM B17-48</t>
  </si>
  <si>
    <t>08652M</t>
  </si>
  <si>
    <t xml:space="preserve"> PRECAST PC BOX BEAM B430</t>
  </si>
  <si>
    <t xml:space="preserve"> PRECAST PC BOX BEAM B21-48</t>
  </si>
  <si>
    <t>08653M</t>
  </si>
  <si>
    <t xml:space="preserve"> PRECAST PC BOX BEAM B535</t>
  </si>
  <si>
    <t xml:space="preserve"> PRECAST PC BOX BEAM B27-48</t>
  </si>
  <si>
    <t>08654M</t>
  </si>
  <si>
    <t xml:space="preserve"> PRECAST PC BOX BEAM B685</t>
  </si>
  <si>
    <t xml:space="preserve"> PRECAST PC BOX BEAM B33-48</t>
  </si>
  <si>
    <t>08655M</t>
  </si>
  <si>
    <t xml:space="preserve"> PRECAST PC BOX BEAM B840</t>
  </si>
  <si>
    <t xml:space="preserve"> PRECAST PC BOX BEAM B42-48</t>
  </si>
  <si>
    <t>08656M</t>
  </si>
  <si>
    <t xml:space="preserve"> PRECAST PC BOX BEAM B1065</t>
  </si>
  <si>
    <t xml:space="preserve"> PRECAST PC BOX BEAM CB12-48</t>
  </si>
  <si>
    <t>08661M</t>
  </si>
  <si>
    <t xml:space="preserve"> PRECAST PC BOX BEAM CB305</t>
  </si>
  <si>
    <t xml:space="preserve"> CL2 ASPH BASE 19.0D PG70-22</t>
  </si>
  <si>
    <t xml:space="preserve"> CL3 ASPH BASE 0.75D PG64-22</t>
  </si>
  <si>
    <t>00223M</t>
  </si>
  <si>
    <t xml:space="preserve"> CL3 ASPH BASE 19.0D PG64-22</t>
  </si>
  <si>
    <t xml:space="preserve"> CL3 ASPH BASE 0.75D PG70-22</t>
  </si>
  <si>
    <t>00224M</t>
  </si>
  <si>
    <t xml:space="preserve"> CL3 ASPH BASE 19.0D PG70-22</t>
  </si>
  <si>
    <t xml:space="preserve"> SLOTTED DRAIN PIPE-375 MM</t>
  </si>
  <si>
    <t xml:space="preserve"> SLOTTED DRAIN PIPE-18 INCH</t>
  </si>
  <si>
    <t>00982M</t>
  </si>
  <si>
    <t xml:space="preserve"> SLOTTED DRAIN PIPE-450 MM</t>
  </si>
  <si>
    <t xml:space="preserve"> SLOTTED DRAIN PIPE-21 INCH</t>
  </si>
  <si>
    <t>00983M</t>
  </si>
  <si>
    <t xml:space="preserve"> SLOTTED DRAIN PIPE-525 MM</t>
  </si>
  <si>
    <t xml:space="preserve"> SLOTTED DRAIN PIPE-24 INCH</t>
  </si>
  <si>
    <t>00984M</t>
  </si>
  <si>
    <t xml:space="preserve"> SLOTTED DRAIN PIPE-600 MM</t>
  </si>
  <si>
    <t xml:space="preserve"> SLOTTED DRAIN PIPE-30 INCH</t>
  </si>
  <si>
    <t>00985M</t>
  </si>
  <si>
    <t xml:space="preserve"> SLOTTED DRAIN PIPE-750 MM</t>
  </si>
  <si>
    <t xml:space="preserve"> FIN DRAIN</t>
  </si>
  <si>
    <t>00999M</t>
  </si>
  <si>
    <t xml:space="preserve"> PERFORATED PIPE-4 INCH</t>
  </si>
  <si>
    <t>01000M</t>
  </si>
  <si>
    <t xml:space="preserve"> PERFORATED PIPE-100 MM</t>
  </si>
  <si>
    <t xml:space="preserve"> PERFORATED PIPE-6 INCH</t>
  </si>
  <si>
    <t>01001M</t>
  </si>
  <si>
    <t xml:space="preserve"> PERFORATED PIPE-150 MM</t>
  </si>
  <si>
    <t xml:space="preserve"> PERFORATED PIPE-8 INCH</t>
  </si>
  <si>
    <t>01002M</t>
  </si>
  <si>
    <t xml:space="preserve"> PERFORATED PIPE-200 MM</t>
  </si>
  <si>
    <t xml:space="preserve"> PERFORATED PIPE-10 INCH</t>
  </si>
  <si>
    <t>01003M</t>
  </si>
  <si>
    <t xml:space="preserve"> PERFORATED PIPE-250 MM</t>
  </si>
  <si>
    <t xml:space="preserve"> PERFORATED PIPE-12 INCH</t>
  </si>
  <si>
    <t>01004M</t>
  </si>
  <si>
    <t xml:space="preserve"> PERFORATED PIPE-300 MM</t>
  </si>
  <si>
    <t xml:space="preserve"> NON-PERFORATED PIPE-4 INCH</t>
  </si>
  <si>
    <t>01010M</t>
  </si>
  <si>
    <t xml:space="preserve"> NON-PERFORATED PIPE-100 MM</t>
  </si>
  <si>
    <t xml:space="preserve"> NON-PERFORATED PIPE-6 INCH</t>
  </si>
  <si>
    <t>01011M</t>
  </si>
  <si>
    <t xml:space="preserve"> NON-PERFORATED PIPE-150 MM</t>
  </si>
  <si>
    <t xml:space="preserve"> NON-PERFORATED PIPE-8 INCH</t>
  </si>
  <si>
    <t>01012M</t>
  </si>
  <si>
    <t>Overall Rank</t>
  </si>
  <si>
    <t>Bid Item #</t>
  </si>
  <si>
    <t># of Occurances</t>
  </si>
  <si>
    <t>CORED HOLE DRAINAGE BOX CON-4 IN</t>
  </si>
  <si>
    <t>PORTABLE CHANGEABLE MESSAGE SIGN</t>
  </si>
  <si>
    <r>
      <t xml:space="preserve">RANKED BY </t>
    </r>
    <r>
      <rPr>
        <strike/>
        <sz val="10"/>
        <rFont val="Arial"/>
        <family val="2"/>
      </rPr>
      <t>TOTAL AWARDED DOLLARS</t>
    </r>
    <r>
      <rPr>
        <sz val="10"/>
        <color indexed="10"/>
        <rFont val="Arial"/>
        <family val="2"/>
      </rPr>
      <t xml:space="preserve"> ITEM NUMBER</t>
    </r>
  </si>
  <si>
    <t>* must
type
price</t>
  </si>
  <si>
    <t>FD04 069 0150 016-020</t>
  </si>
  <si>
    <t>none</t>
  </si>
  <si>
    <t>unlimited</t>
  </si>
  <si>
    <t>20174ED</t>
  </si>
  <si>
    <t xml:space="preserve"> PAVEMENT MARKER TYPE III-MW</t>
  </si>
  <si>
    <t xml:space="preserve"> PAVEMENT MARKER TYPE III-MY</t>
  </si>
  <si>
    <t xml:space="preserve"> PAVEMENT MARKER TYPE III-BY</t>
  </si>
  <si>
    <t xml:space="preserve"> PAVE STRIPING-TEMP PAINT-4 IN</t>
  </si>
  <si>
    <t>06510M</t>
  </si>
  <si>
    <t xml:space="preserve"> PAVE STRIPING-TEMP PAINT-100MM</t>
  </si>
  <si>
    <t xml:space="preserve"> PAVE STRIPING-TEMP PAINT-6 IN</t>
  </si>
  <si>
    <t>06511M</t>
  </si>
  <si>
    <t xml:space="preserve"> CL3 ASPH SURF 0.50A PG70-22</t>
  </si>
  <si>
    <t>00331M</t>
  </si>
  <si>
    <t xml:space="preserve"> CL3 ASPH SURF 12.5A PG70-22</t>
  </si>
  <si>
    <t xml:space="preserve"> CL3 ASPH SURF 0.50A PG76-22</t>
  </si>
  <si>
    <t>00332M</t>
  </si>
  <si>
    <t xml:space="preserve"> CL3 ASPH SURF 12.5A PG76-22</t>
  </si>
  <si>
    <t xml:space="preserve"> CL4 ASPH SURF 0.50A PG64-22</t>
  </si>
  <si>
    <t>00333M</t>
  </si>
  <si>
    <t xml:space="preserve"> CL4 ASPH SURF 12.5A PG64-22</t>
  </si>
  <si>
    <t xml:space="preserve"> CL4 ASPH SURF 0.50A PG70-22</t>
  </si>
  <si>
    <t>00334M</t>
  </si>
  <si>
    <t xml:space="preserve"> CL4 ASPH SURF 12.5A PG70-22</t>
  </si>
  <si>
    <t xml:space="preserve"> CL4 ASPH SURF 0.50A PG76-22</t>
  </si>
  <si>
    <t>00335M</t>
  </si>
  <si>
    <t xml:space="preserve"> CL4 ASPH SURF 12.5A PG76-22</t>
  </si>
  <si>
    <t xml:space="preserve"> CL3 ASPH SURF 0.38A PG76-22</t>
  </si>
  <si>
    <t>00336M</t>
  </si>
  <si>
    <t xml:space="preserve"> CL3 ASPH SURF 9.50A PG76-22</t>
  </si>
  <si>
    <t xml:space="preserve"> CL4 ASPH SURF 0.38B PG76-22</t>
  </si>
  <si>
    <t>00337M</t>
  </si>
  <si>
    <t xml:space="preserve"> CL4 ASPH SURF 9.50B PG76-22</t>
  </si>
  <si>
    <t xml:space="preserve"> ASPHALT PLACEMENT WITH MTV</t>
  </si>
  <si>
    <t>00338M</t>
  </si>
  <si>
    <t xml:space="preserve"> CL3 ASPH SURF 0.38D PG64-22</t>
  </si>
  <si>
    <t>00339M</t>
  </si>
  <si>
    <t xml:space="preserve"> CL3 ASPH SURF 9.50D PG64-22</t>
  </si>
  <si>
    <t xml:space="preserve"> CL2 ASPH SURF 0.38D PG76-22</t>
  </si>
  <si>
    <t>00340M</t>
  </si>
  <si>
    <t xml:space="preserve"> CL2 ASPH SURF 9.50D PG76-22</t>
  </si>
  <si>
    <t xml:space="preserve"> CL4 ASPH SURF 0.38A PG76-22</t>
  </si>
  <si>
    <t>00342M</t>
  </si>
  <si>
    <t xml:space="preserve"> CL4 ASPH SURF 9.50A PG76-22</t>
  </si>
  <si>
    <t xml:space="preserve"> CL4 ASPH SURF 0.38D PG76-22</t>
  </si>
  <si>
    <t>00344M</t>
  </si>
  <si>
    <t xml:space="preserve"> CL4 ASPH SURF 9.50D PG76-22</t>
  </si>
  <si>
    <t xml:space="preserve"> ASPHALT CURING SEAL</t>
  </si>
  <si>
    <t>00358M</t>
  </si>
  <si>
    <t xml:space="preserve"> ASPH SURF SAND TY II PG 64-22</t>
  </si>
  <si>
    <t>00374M</t>
  </si>
  <si>
    <t xml:space="preserve"> ENTRANCE PIPE-12 INCH</t>
  </si>
  <si>
    <t xml:space="preserve"> LF</t>
  </si>
  <si>
    <t>00439M</t>
  </si>
  <si>
    <t xml:space="preserve"> ENTRANCE PIPE-300 MM</t>
  </si>
  <si>
    <t xml:space="preserve"> M</t>
  </si>
  <si>
    <t xml:space="preserve"> ENTRANCE PIPE-15 INCH</t>
  </si>
  <si>
    <t>00440M</t>
  </si>
  <si>
    <t xml:space="preserve"> ENTRANCE PIPE-375 MM</t>
  </si>
  <si>
    <t xml:space="preserve"> ENTRANCE PIPE-18 INCH</t>
  </si>
  <si>
    <t>00441M</t>
  </si>
  <si>
    <t xml:space="preserve"> ENTRANCE PIPE-450 MM</t>
  </si>
  <si>
    <t xml:space="preserve"> ENTRANCE PIPE-24 INCH</t>
  </si>
  <si>
    <t>00443M</t>
  </si>
  <si>
    <t>06543M</t>
  </si>
  <si>
    <t xml:space="preserve"> PAVE STRIPING-THERMO-150 MM Y</t>
  </si>
  <si>
    <t xml:space="preserve"> PAVE STRIPING-THERMO-8 INCH W</t>
  </si>
  <si>
    <t>06544M</t>
  </si>
  <si>
    <t xml:space="preserve"> PAVE STRIPING-THERMO-200 MM W</t>
  </si>
  <si>
    <t xml:space="preserve"> PAVE STRIPING-THERMO-8 INCH Y</t>
  </si>
  <si>
    <t>06545M</t>
  </si>
  <si>
    <t xml:space="preserve"> PAVE STRIPING-THERMO-200 MM Y</t>
  </si>
  <si>
    <t xml:space="preserve"> PAVE STRIPING-THERMO-12 INCH W</t>
  </si>
  <si>
    <t>06546M</t>
  </si>
  <si>
    <t xml:space="preserve"> PAVE STRIPING-THERMO-300 MM W</t>
  </si>
  <si>
    <t xml:space="preserve"> PAVE STRIPING-THERMO-12 INCH Y</t>
  </si>
  <si>
    <t>06547M</t>
  </si>
  <si>
    <t xml:space="preserve"> PAVE STRIPING-THERMO-300 MM Y</t>
  </si>
  <si>
    <t xml:space="preserve"> PAVE STRIPING-TEMP REM TAPE-B</t>
  </si>
  <si>
    <t>06549M</t>
  </si>
  <si>
    <t xml:space="preserve"> PAVE STRIPING-TEMP REM TAPE-W</t>
  </si>
  <si>
    <t>06550M</t>
  </si>
  <si>
    <t xml:space="preserve"> PAVE STRIPING-TEMP REM TAPE-Y</t>
  </si>
  <si>
    <t>06551M</t>
  </si>
  <si>
    <t xml:space="preserve"> PAVE STRIPING-TEMP NR TAPE-W</t>
  </si>
  <si>
    <t>06552M</t>
  </si>
  <si>
    <t xml:space="preserve"> PAVE STRIPING-TEMP NR TAPE-Y</t>
  </si>
  <si>
    <t>06553M</t>
  </si>
  <si>
    <t xml:space="preserve"> PAVE STRIPING-DUR TY 1-4 IN W</t>
  </si>
  <si>
    <t>06554M</t>
  </si>
  <si>
    <t xml:space="preserve"> PAVE STRIPING-DUR TY 1-100MM W</t>
  </si>
  <si>
    <t xml:space="preserve"> PAVE STRIPING-DUR TY 1-4 IN Y</t>
  </si>
  <si>
    <t>06555M</t>
  </si>
  <si>
    <t xml:space="preserve"> PAVE STRIPING-DUR TY 1-100MM Y</t>
  </si>
  <si>
    <t xml:space="preserve"> PAVE STRIPING-DUR TY 1-6 IN W</t>
  </si>
  <si>
    <t>06556M</t>
  </si>
  <si>
    <t xml:space="preserve"> PAVE STRIPING-DUR TY 1-150MM W</t>
  </si>
  <si>
    <t xml:space="preserve"> PAVE STRIPING-DUR TY 1-6 IN Y</t>
  </si>
  <si>
    <t>06557M</t>
  </si>
  <si>
    <t xml:space="preserve"> PAVE STRIPING-DUR TY 1-150MM Y</t>
  </si>
  <si>
    <t xml:space="preserve"> PAVE STRIPING-DUR TY 1-8 IN W</t>
  </si>
  <si>
    <t>06558M</t>
  </si>
  <si>
    <t xml:space="preserve"> PAVE STRIPING-DUR TY 1-200MM W</t>
  </si>
  <si>
    <t xml:space="preserve"> PAVE STRIPING-DUR TY 1-8 IN Y</t>
  </si>
  <si>
    <t>06559M</t>
  </si>
  <si>
    <t xml:space="preserve"> PAVE STRIPING-DUR TY 1-200MM Y</t>
  </si>
  <si>
    <t xml:space="preserve"> PRECAST PC BOX BEAM B432-914</t>
  </si>
  <si>
    <t xml:space="preserve"> PRECAST PC BOX BEAM B21-36</t>
  </si>
  <si>
    <t>08613M</t>
  </si>
  <si>
    <t xml:space="preserve"> PRECAST PC BOX BEAM B533-914</t>
  </si>
  <si>
    <t xml:space="preserve"> PRECAST PC BOX BEAM B27-36</t>
  </si>
  <si>
    <t>08621M</t>
  </si>
  <si>
    <t xml:space="preserve"> PRECAST PC BOX BEAM B686-914</t>
  </si>
  <si>
    <t xml:space="preserve"> PRECAST PC BOX BEAM B33-36</t>
  </si>
  <si>
    <t>08622M</t>
  </si>
  <si>
    <t xml:space="preserve"> PRECAST PC BOX BEAM B838-914</t>
  </si>
  <si>
    <t xml:space="preserve"> PRECAST PC BOX BEAM B42-36</t>
  </si>
  <si>
    <t>08623M</t>
  </si>
  <si>
    <t xml:space="preserve"> PRECAST PC BOX BEAM B1067-914</t>
  </si>
  <si>
    <t xml:space="preserve"> PRECAST PC PANELS</t>
  </si>
  <si>
    <t>08628M</t>
  </si>
  <si>
    <t xml:space="preserve"> PRECAST PC I BEAM TYPE 1</t>
  </si>
  <si>
    <t>08631M</t>
  </si>
  <si>
    <t xml:space="preserve"> PRECAST PC I BEAM TYPE 2</t>
  </si>
  <si>
    <t>08632M</t>
  </si>
  <si>
    <t xml:space="preserve"> PRECAST PC I BEAM TYPE 3</t>
  </si>
  <si>
    <t>08633M</t>
  </si>
  <si>
    <t xml:space="preserve"> PRECAST PC I BEAM TYPE 4</t>
  </si>
  <si>
    <t>08634M</t>
  </si>
  <si>
    <t xml:space="preserve"> PRECAST PC I BEAM TYPE 6</t>
  </si>
  <si>
    <t>08635M</t>
  </si>
  <si>
    <t xml:space="preserve"> PRECAST PC I BEAM TYPE 5</t>
  </si>
  <si>
    <t>08636M</t>
  </si>
  <si>
    <t xml:space="preserve"> PRECAST PC I BEAM TYPE 7</t>
  </si>
  <si>
    <t>08637M</t>
  </si>
  <si>
    <t xml:space="preserve"> PRECAST PC I BEAM TYPE 8</t>
  </si>
  <si>
    <t>08638M</t>
  </si>
  <si>
    <t xml:space="preserve"> PRECAST PC I BEAM TYPE 9</t>
  </si>
  <si>
    <t>08639M</t>
  </si>
  <si>
    <t xml:space="preserve"> PRECAST PC BOX BEAM B12-48</t>
  </si>
  <si>
    <t>22906ES403</t>
  </si>
  <si>
    <t>MATERIAL</t>
  </si>
  <si>
    <t>ABUT. HEIGHT</t>
  </si>
  <si>
    <t>ABUT. TYPE</t>
  </si>
  <si>
    <t>UNIT</t>
  </si>
  <si>
    <t>ITEM</t>
  </si>
  <si>
    <t>Drawing Number</t>
  </si>
  <si>
    <t>State Project Number</t>
  </si>
  <si>
    <t>Federal Project Number</t>
  </si>
  <si>
    <t>Number Of Spans</t>
  </si>
  <si>
    <t>Item Number</t>
  </si>
  <si>
    <t>District</t>
  </si>
  <si>
    <t>Design Section</t>
  </si>
  <si>
    <t>Designer</t>
  </si>
  <si>
    <t>Station</t>
  </si>
  <si>
    <t>Letting Date</t>
  </si>
  <si>
    <t>Route Number</t>
  </si>
  <si>
    <t>Out-To-Out Length</t>
  </si>
  <si>
    <t>Out-To-Out Width</t>
  </si>
  <si>
    <t>Beam Type</t>
  </si>
  <si>
    <t>Roadway Width</t>
  </si>
  <si>
    <t>Special Features</t>
  </si>
  <si>
    <t>Number Of Lanes</t>
  </si>
  <si>
    <t>Current ADT</t>
  </si>
  <si>
    <t>Current ADT Year</t>
  </si>
  <si>
    <t>Future ADT</t>
  </si>
  <si>
    <t>Future ADT Year</t>
  </si>
  <si>
    <t>None, Open, Closed</t>
  </si>
  <si>
    <t>Number Of Plan Sheets</t>
  </si>
  <si>
    <t>Type</t>
  </si>
  <si>
    <t>Intermediate
Substructures</t>
  </si>
  <si>
    <t>Begin/End
Substructures</t>
  </si>
  <si>
    <t>Span
Length</t>
  </si>
  <si>
    <t>Framing</t>
  </si>
  <si>
    <t>Road Class Over</t>
  </si>
  <si>
    <t>usually = gutter-to-gutter plus 8'</t>
  </si>
  <si>
    <t>Simple, Continuous for Live load</t>
  </si>
  <si>
    <t>from Design Executive Summary</t>
  </si>
  <si>
    <t>Slab Thickness</t>
  </si>
  <si>
    <t>Cover to Slab Reinforcement</t>
  </si>
  <si>
    <t>inch</t>
  </si>
  <si>
    <t>as striped</t>
  </si>
  <si>
    <t>SPAN ARRANGEMENT</t>
  </si>
  <si>
    <t>COMMENT</t>
  </si>
  <si>
    <t>REV. 2/04</t>
  </si>
  <si>
    <t>Highway District</t>
  </si>
  <si>
    <t xml:space="preserve"> CL3 ASPH BASE 0.75D PG76-22</t>
  </si>
  <si>
    <t>00225M</t>
  </si>
  <si>
    <t xml:space="preserve"> CL3 ASPH BASE 19.0D PG76-22</t>
  </si>
  <si>
    <t xml:space="preserve"> CL4 ASPH BASE 0.75D PG64-22</t>
  </si>
  <si>
    <t>00226M</t>
  </si>
  <si>
    <t xml:space="preserve"> CL4 ASPH BASE 19.0D PG64-22</t>
  </si>
  <si>
    <t xml:space="preserve"> CL4 ASPH BASE 0.75D PG70-22</t>
  </si>
  <si>
    <t>00227M</t>
  </si>
  <si>
    <t xml:space="preserve"> CL4 ASPH BASE 19.0D PG70-22</t>
  </si>
  <si>
    <t xml:space="preserve"> CL4 ASPH BASE 0.75D PG76-22</t>
  </si>
  <si>
    <t>00228M</t>
  </si>
  <si>
    <t xml:space="preserve"> CL4 ASPH BASE 19.0D PG76-22</t>
  </si>
  <si>
    <t xml:space="preserve"> CL2 ASPH BASE 1.00E PG64-22</t>
  </si>
  <si>
    <t xml:space="preserve"> CL2 ASPH BASE 1.00E PG70-22</t>
  </si>
  <si>
    <t xml:space="preserve"> ASPHALT MIX FOR PAVEMENT WEDGE</t>
  </si>
  <si>
    <t>00263M</t>
  </si>
  <si>
    <t xml:space="preserve"> ASPH SURF OPEN-GRADED PG70-22</t>
  </si>
  <si>
    <t>00266M</t>
  </si>
  <si>
    <t xml:space="preserve"> ASPH SURF OPEN-GRADED PG64-22</t>
  </si>
  <si>
    <t>00267M</t>
  </si>
  <si>
    <t xml:space="preserve"> ASPH SURF OPEN-GRADED PG76-22</t>
  </si>
  <si>
    <t>00268M</t>
  </si>
  <si>
    <t xml:space="preserve"> MODIFIED OPEN-GRADED DRAINAGE COURSE</t>
  </si>
  <si>
    <t xml:space="preserve"> CL1 ASPH BIND 0.50D PG64-22</t>
  </si>
  <si>
    <t>00271M</t>
  </si>
  <si>
    <t xml:space="preserve"> CL1 ASPH BIND 12.5D PG64-22</t>
  </si>
  <si>
    <t xml:space="preserve"> CL2 ASPH BIND 0.50D PG64-22</t>
  </si>
  <si>
    <t>00272M</t>
  </si>
  <si>
    <t xml:space="preserve"> CL2 ASPH BIND 12.5D PG64-22</t>
  </si>
  <si>
    <t xml:space="preserve"> CL2 ASPH BIND 0.50D PG70-22</t>
  </si>
  <si>
    <t>00273M</t>
  </si>
  <si>
    <t xml:space="preserve"> CL2 ASPH BIND 12.5D PG70-22</t>
  </si>
  <si>
    <t xml:space="preserve"> CL3 ASPH BIND 0.50D PG64-22</t>
  </si>
  <si>
    <t>00274M</t>
  </si>
  <si>
    <t xml:space="preserve"> CL3 ASPH BIND 12.5D PG64-22</t>
  </si>
  <si>
    <t xml:space="preserve"> CL3 ASPH BIND 0.50D PG70-22</t>
  </si>
  <si>
    <t>00275M</t>
  </si>
  <si>
    <t xml:space="preserve"> CL3 ASPH BIND 12.5D PG70-22</t>
  </si>
  <si>
    <t xml:space="preserve"> CL3 ASPH BIND 0.50D PG76-22</t>
  </si>
  <si>
    <t>00276M</t>
  </si>
  <si>
    <t xml:space="preserve"> CL3 ASPH BIND 12.5D PG76-22</t>
  </si>
  <si>
    <t xml:space="preserve"> CL4 ASPH BIND 0.50D PG64-22</t>
  </si>
  <si>
    <t xml:space="preserve"> EXPAN JOINT REPLACE 75MM</t>
  </si>
  <si>
    <t xml:space="preserve"> EXPAN JOINT REPLACE 4 INCH</t>
  </si>
  <si>
    <t>03298M</t>
  </si>
  <si>
    <t xml:space="preserve"> EXPAN JOINT REPLACE 100MM</t>
  </si>
  <si>
    <t xml:space="preserve"> ARMORED EDGE FOR CONCRETE</t>
  </si>
  <si>
    <t>03299M</t>
  </si>
  <si>
    <t xml:space="preserve"> ELIMINATE TRANSVERSE JOINT</t>
  </si>
  <si>
    <t xml:space="preserve"> REPAIR CONCRETE HANDRAIL</t>
  </si>
  <si>
    <t xml:space="preserve"> REPAIR CONCRETE CURB</t>
  </si>
  <si>
    <t xml:space="preserve"> REPAIR CONCRETE SIDEWALK</t>
  </si>
  <si>
    <t xml:space="preserve"> BRIDGE OVERLAY APPROACH PAVEMENT</t>
  </si>
  <si>
    <t xml:space="preserve"> RESET BEARING SHOE</t>
  </si>
  <si>
    <t xml:space="preserve"> JACK &amp; SUPPORT BRIDGE SPAN</t>
  </si>
  <si>
    <t xml:space="preserve"> GALVANIZED PIPE-1 INCH</t>
  </si>
  <si>
    <t>03330M</t>
  </si>
  <si>
    <t xml:space="preserve"> GALVANIZED PIPE-25 MM</t>
  </si>
  <si>
    <t xml:space="preserve"> STEEL PIPE-2 1/2 INCH</t>
  </si>
  <si>
    <t>03340M</t>
  </si>
  <si>
    <t xml:space="preserve"> STEEL PIPE-63 MM</t>
  </si>
  <si>
    <t xml:space="preserve"> STEEL PIPE-4 INCH</t>
  </si>
  <si>
    <t>03343M</t>
  </si>
  <si>
    <t xml:space="preserve"> STEEL PIPE-100 MM</t>
  </si>
  <si>
    <t xml:space="preserve"> STEEL PIPE-12 INCH</t>
  </si>
  <si>
    <t>03349M</t>
  </si>
  <si>
    <t xml:space="preserve"> STEEL PIPE-300 MM</t>
  </si>
  <si>
    <t xml:space="preserve"> REMOVE PAVED DITCH</t>
  </si>
  <si>
    <t>02165M</t>
  </si>
  <si>
    <t xml:space="preserve"> RIGHT-OF-WAY MOWING TYPE 2</t>
  </si>
  <si>
    <t xml:space="preserve"> ACRE</t>
  </si>
  <si>
    <t>02166M</t>
  </si>
  <si>
    <t xml:space="preserve"> HCTR</t>
  </si>
  <si>
    <t xml:space="preserve"> RIGHT-OF-WAY MOWING</t>
  </si>
  <si>
    <t>02167M</t>
  </si>
  <si>
    <t xml:space="preserve"> SLUDGE/WATER ANALYSIS</t>
  </si>
  <si>
    <t xml:space="preserve"> DISP TANK SLUDGE&amp;RINSATE WATER</t>
  </si>
  <si>
    <t xml:space="preserve"> GAL</t>
  </si>
  <si>
    <t>02181M</t>
  </si>
  <si>
    <t xml:space="preserve"> L</t>
  </si>
  <si>
    <t xml:space="preserve"> PROGRESSIVE SOIL ANALYSIS</t>
  </si>
  <si>
    <t xml:space="preserve"> CONTAMINATED SOIL DISPOSAL</t>
  </si>
  <si>
    <t>02183M</t>
  </si>
  <si>
    <t xml:space="preserve"> BACKFILLING</t>
  </si>
  <si>
    <t>02184M</t>
  </si>
  <si>
    <t xml:space="preserve"> INSPECT STRUCTURE FOR ACM</t>
  </si>
  <si>
    <t xml:space="preserve"> INSPECT STRUCTURE FOR DEMOLITION</t>
  </si>
  <si>
    <t xml:space="preserve"> SITE PREPARATION</t>
  </si>
  <si>
    <t xml:space="preserve"> ACM REMOVAL</t>
  </si>
  <si>
    <t xml:space="preserve"> SQFT</t>
  </si>
  <si>
    <t>02188M</t>
  </si>
  <si>
    <t xml:space="preserve"> ACM DISPOSAL</t>
  </si>
  <si>
    <t>02189M</t>
  </si>
  <si>
    <t xml:space="preserve"> CLOSURE REPORT PREPARATION</t>
  </si>
  <si>
    <t xml:space="preserve"> STRUCTURE DEMOLITION</t>
  </si>
  <si>
    <t xml:space="preserve"> ROADWAY EXCAVATION</t>
  </si>
  <si>
    <t>02200M</t>
  </si>
  <si>
    <t xml:space="preserve"> STRUCTURE EXCAV-UNCLASSIFIED</t>
  </si>
  <si>
    <t>02203M</t>
  </si>
  <si>
    <t xml:space="preserve"> SPECIAL EXCAVATION</t>
  </si>
  <si>
    <t>02204M</t>
  </si>
  <si>
    <t xml:space="preserve"> BORROW EXCAVATION</t>
  </si>
  <si>
    <t>02210M</t>
  </si>
  <si>
    <t xml:space="preserve"> PIPE UNDERCUT</t>
  </si>
  <si>
    <t>02219M</t>
  </si>
  <si>
    <t xml:space="preserve"> FLOWABLE FILL</t>
  </si>
  <si>
    <t>02220M</t>
  </si>
  <si>
    <t>22146EN</t>
  </si>
  <si>
    <t>22520EN</t>
  </si>
  <si>
    <t>21596ND</t>
  </si>
  <si>
    <t>21802EN</t>
  </si>
  <si>
    <r>
      <t xml:space="preserve">For items with Bid information on the "Bids" tab, the Lookup Function will copy the Average Unit Bid Price to this chart.
However, the user </t>
    </r>
    <r>
      <rPr>
        <b/>
        <u val="single"/>
        <sz val="10"/>
        <rFont val="Arial"/>
        <family val="2"/>
      </rPr>
      <t>may</t>
    </r>
    <r>
      <rPr>
        <sz val="10"/>
        <rFont val="Arial"/>
        <family val="0"/>
      </rPr>
      <t xml:space="preserve"> override the unit price on this chart if a better estimate is available.
For items without Bid information, the user </t>
    </r>
    <r>
      <rPr>
        <b/>
        <u val="single"/>
        <sz val="10"/>
        <rFont val="Arial"/>
        <family val="2"/>
      </rPr>
      <t>must</t>
    </r>
    <r>
      <rPr>
        <sz val="10"/>
        <rFont val="Arial"/>
        <family val="0"/>
      </rPr>
      <t xml:space="preserve"> manually input the Unit Price on this chart, as shown along this row:</t>
    </r>
  </si>
  <si>
    <t>fill in only the "Number" Column and the "Actual Total Hours" row</t>
  </si>
  <si>
    <t>STRUCTURAL STEEL (Steel Superstructure)</t>
  </si>
  <si>
    <t>BID ITEM</t>
  </si>
  <si>
    <t>Substructure</t>
  </si>
  <si>
    <t>Superstructure</t>
  </si>
  <si>
    <t>Left Elevation</t>
  </si>
  <si>
    <t>Right Elevation</t>
  </si>
  <si>
    <t xml:space="preserve"> EXPANSION DAM-50 MM NEOPRENE</t>
  </si>
  <si>
    <t xml:space="preserve"> EXPANSION DAM-2.5 IN NEOPRENE</t>
  </si>
  <si>
    <t>08471M</t>
  </si>
  <si>
    <t xml:space="preserve"> EXPANSION DAM-60 MM NEOPRENE</t>
  </si>
  <si>
    <t xml:space="preserve"> EXPANSION DAM-4 INCH NEOPRENE</t>
  </si>
  <si>
    <t>08472M</t>
  </si>
  <si>
    <t xml:space="preserve"> EXPANSION DAM-100 MM NEOPRENE</t>
  </si>
  <si>
    <t xml:space="preserve"> EXPANSION DAM-1.5 IN SILICONE</t>
  </si>
  <si>
    <t>Is the type of structure correct according to discussion regarding the structure?</t>
  </si>
  <si>
    <t>Check proposed span arrangement for economics and feasibility for this location</t>
  </si>
  <si>
    <t>Checked</t>
  </si>
  <si>
    <t>Check substructure types for correctness</t>
  </si>
  <si>
    <t>FOR GRADE SEPARATION</t>
  </si>
  <si>
    <t>11.</t>
  </si>
  <si>
    <t>What is the vertical clearance required?</t>
  </si>
  <si>
    <t>Furnished?</t>
  </si>
  <si>
    <t>12.</t>
  </si>
  <si>
    <t>Are the horizontal clearances adequate?</t>
  </si>
  <si>
    <t>13.</t>
  </si>
  <si>
    <t>Is longitudinal drainage of route under provided for by:</t>
  </si>
  <si>
    <t>Side ditches</t>
  </si>
  <si>
    <t>Pipe</t>
  </si>
  <si>
    <t>Not Necessary</t>
  </si>
  <si>
    <t>14.</t>
  </si>
  <si>
    <t>Do the piers leave the side ditches clear?</t>
  </si>
  <si>
    <t>15.</t>
  </si>
  <si>
    <t>Is the cross section proposed for the route under the structure verified by the roadway cross sections (particularly for cut sections in rock)?</t>
  </si>
  <si>
    <t>16.</t>
  </si>
  <si>
    <t>Are the abutment footings reasonably clear from excessive backbreakage when the route under is in a rock cut?</t>
  </si>
  <si>
    <t>Remarks:</t>
  </si>
  <si>
    <t>FOR STREAM CROSSINGS</t>
  </si>
  <si>
    <t>17.</t>
  </si>
  <si>
    <t>Is minimum freeboard provided from high (100-year flood) headwater to girder soffit?</t>
  </si>
  <si>
    <t>18.</t>
  </si>
  <si>
    <t>Is high backwater elevation below girder soffit?</t>
  </si>
  <si>
    <t>19.</t>
  </si>
  <si>
    <t>At this site does navigation map show navigable?</t>
  </si>
  <si>
    <t>20.</t>
  </si>
  <si>
    <t>Has navigation permit been requested?</t>
  </si>
  <si>
    <t>Structure recommended for review</t>
  </si>
  <si>
    <t>signature</t>
  </si>
  <si>
    <t xml:space="preserve"> CONDUIT-3 INCH</t>
  </si>
  <si>
    <t>04797M</t>
  </si>
  <si>
    <t xml:space="preserve"> CONDUIT-75 MM</t>
  </si>
  <si>
    <t xml:space="preserve"> CONDUIT-3 1/2 INCH</t>
  </si>
  <si>
    <t>04798M</t>
  </si>
  <si>
    <t xml:space="preserve"> CONDUIT-88 MM</t>
  </si>
  <si>
    <t xml:space="preserve"> CONDUIT-4 INCH</t>
  </si>
  <si>
    <t>04799M</t>
  </si>
  <si>
    <t xml:space="preserve"> CONDUIT-100 MM</t>
  </si>
  <si>
    <t xml:space="preserve"> MARKER</t>
  </si>
  <si>
    <t xml:space="preserve"> JUNCTION BOX-ELECTRICAL</t>
  </si>
  <si>
    <t xml:space="preserve"> JUNCTION BOX TYPE B</t>
  </si>
  <si>
    <t xml:space="preserve"> TRENCHING AND BACKFILLING</t>
  </si>
  <si>
    <t>04820M</t>
  </si>
  <si>
    <t xml:space="preserve"> OPEN CUT ROADWAY</t>
  </si>
  <si>
    <t>04821M</t>
  </si>
  <si>
    <t xml:space="preserve"> PIEZOELECTRIC SENSOR</t>
  </si>
  <si>
    <t xml:space="preserve"> LOOP WIRE</t>
  </si>
  <si>
    <t>04830M</t>
  </si>
  <si>
    <t xml:space="preserve"> WIRE-NO. 14</t>
  </si>
  <si>
    <t>04831M</t>
  </si>
  <si>
    <t xml:space="preserve"> WIRE-NO. 12</t>
  </si>
  <si>
    <t>04832M</t>
  </si>
  <si>
    <t xml:space="preserve"> WIRE-NO. 8</t>
  </si>
  <si>
    <t>04833M</t>
  </si>
  <si>
    <t xml:space="preserve"> WIRE-NO. 6</t>
  </si>
  <si>
    <t>04834M</t>
  </si>
  <si>
    <t xml:space="preserve"> WIRE-NO. 4</t>
  </si>
  <si>
    <t>04835M</t>
  </si>
  <si>
    <t xml:space="preserve"> WIRE-NO. 2</t>
  </si>
  <si>
    <t>04836M</t>
  </si>
  <si>
    <t xml:space="preserve"> WIRE-NO. 0</t>
  </si>
  <si>
    <t>04837M</t>
  </si>
  <si>
    <t xml:space="preserve"> SLOPED BOX OUTLET TYPE 1-18 IN</t>
  </si>
  <si>
    <t>01433M</t>
  </si>
  <si>
    <t>00077M</t>
  </si>
  <si>
    <t xml:space="preserve"> CRUSHED AGGREGATE SIZE NO 2</t>
  </si>
  <si>
    <t>00078M</t>
  </si>
  <si>
    <t xml:space="preserve"> CRUSHED AGGREGATE SIZE NO 23</t>
  </si>
  <si>
    <t>00080M</t>
  </si>
  <si>
    <t xml:space="preserve"> CRUSHED AGGREGATE SIZE NO 9</t>
  </si>
  <si>
    <t>00082M</t>
  </si>
  <si>
    <t xml:space="preserve"> ASPHALT SEAL AGGREGATE</t>
  </si>
  <si>
    <t>00100M</t>
  </si>
  <si>
    <t xml:space="preserve"> SAMI</t>
  </si>
  <si>
    <t>00101M</t>
  </si>
  <si>
    <t xml:space="preserve"> SAMI COVER AGGREGATE</t>
  </si>
  <si>
    <t>00102M</t>
  </si>
  <si>
    <t xml:space="preserve"> ASPHALT SEAL COAT</t>
  </si>
  <si>
    <t>00103M</t>
  </si>
  <si>
    <t xml:space="preserve"> LEVELING &amp; WEDGING PG64-22</t>
  </si>
  <si>
    <t>00190M</t>
  </si>
  <si>
    <t xml:space="preserve"> ASPHALT SCRATCH COURSE PG64-22</t>
  </si>
  <si>
    <t>00191M</t>
  </si>
  <si>
    <t xml:space="preserve"> ASPHALT SCRATCH COURSE PG70-22</t>
  </si>
  <si>
    <t>00192M</t>
  </si>
  <si>
    <t xml:space="preserve"> ASPHALT SCRATCH COURSE PG76-22</t>
  </si>
  <si>
    <t>00193M</t>
  </si>
  <si>
    <t xml:space="preserve"> LEVELING &amp; WEDGING PG76-22</t>
  </si>
  <si>
    <t xml:space="preserve"> LEVELING &amp; WEDGING PG67-22</t>
  </si>
  <si>
    <t>Unit
Price</t>
  </si>
  <si>
    <t xml:space="preserve"> ADJUST MEDIAN BOX</t>
  </si>
  <si>
    <t xml:space="preserve"> BARRICADE-TYPE I</t>
  </si>
  <si>
    <t xml:space="preserve"> BARRICADE-TYPE II</t>
  </si>
  <si>
    <t xml:space="preserve"> BARRICADE-TYPE III</t>
  </si>
  <si>
    <t xml:space="preserve"> CEMENT CONCRETE ISLAND</t>
  </si>
  <si>
    <t>02015M</t>
  </si>
  <si>
    <t xml:space="preserve"> REMOVE CONCRETE ISLAND</t>
  </si>
  <si>
    <t>02016M</t>
  </si>
  <si>
    <t xml:space="preserve"> REMOVE PCC PAVEMENT</t>
  </si>
  <si>
    <t>02058M</t>
  </si>
  <si>
    <t xml:space="preserve"> PCC PAVEMENT DIAMOND GRINDING</t>
  </si>
  <si>
    <t>02060M</t>
  </si>
  <si>
    <t xml:space="preserve"> PCC BASE-6 INCH</t>
  </si>
  <si>
    <t>02061M</t>
  </si>
  <si>
    <t xml:space="preserve"> PCC BASE-150 MM</t>
  </si>
  <si>
    <t xml:space="preserve"> PCC BASE-8 INCH</t>
  </si>
  <si>
    <t>02063M</t>
  </si>
  <si>
    <t xml:space="preserve"> PCC BASE-200 MM</t>
  </si>
  <si>
    <t xml:space="preserve"> PCC BASE-9 INCH</t>
  </si>
  <si>
    <t>02064M</t>
  </si>
  <si>
    <t xml:space="preserve"> PCC BASE-225 MM</t>
  </si>
  <si>
    <t xml:space="preserve"> PCC BASE-10 INCH</t>
  </si>
  <si>
    <t>02065M</t>
  </si>
  <si>
    <t xml:space="preserve"> PCC BASE-250 MM</t>
  </si>
  <si>
    <t xml:space="preserve"> JPC PAVEMENT-10 INCH</t>
  </si>
  <si>
    <t>02069M</t>
  </si>
  <si>
    <t xml:space="preserve"> JPC PAVEMENT-250 MM</t>
  </si>
  <si>
    <t xml:space="preserve"> JPC PAVEMENT-12 INCH</t>
  </si>
  <si>
    <t>02070M</t>
  </si>
  <si>
    <t xml:space="preserve"> JPC PAVEMENT-300 MM</t>
  </si>
  <si>
    <t xml:space="preserve"> JPC PAVEMENT-11 INCH</t>
  </si>
  <si>
    <t>02071M</t>
  </si>
  <si>
    <t xml:space="preserve"> JPC PAVEMENT-275 MM</t>
  </si>
  <si>
    <t xml:space="preserve"> JPC PAVEMENT-11 INCH SHLD</t>
  </si>
  <si>
    <t>02072M</t>
  </si>
  <si>
    <t>Structure approved by this review</t>
  </si>
  <si>
    <t>Culvert Station</t>
  </si>
  <si>
    <t xml:space="preserve"> TRANSFORMER BASE</t>
  </si>
  <si>
    <t xml:space="preserve"> POLE W/SECONDARY CONTROL EQUIP</t>
  </si>
  <si>
    <t xml:space="preserve"> LIGHTING CONTROL EQUIPMENT</t>
  </si>
  <si>
    <t xml:space="preserve"> HPS LUMINAIRE</t>
  </si>
  <si>
    <t xml:space="preserve"> HPS LUMINAIRE WALL PACK</t>
  </si>
  <si>
    <t xml:space="preserve"> HPS LUMINAIRE OFFSET</t>
  </si>
  <si>
    <t xml:space="preserve"> HPS LUMINAIRE HIGH MAST</t>
  </si>
  <si>
    <t xml:space="preserve"> NAVIGATION LIGHT 360 DEG GREEN</t>
  </si>
  <si>
    <t xml:space="preserve"> NAVIGATION LIGHT 180 DEG RED</t>
  </si>
  <si>
    <t xml:space="preserve"> FUSED CONNECTOR KIT</t>
  </si>
  <si>
    <t xml:space="preserve"> CONDUIT-1/2 INCH</t>
  </si>
  <si>
    <t>04790M</t>
  </si>
  <si>
    <t xml:space="preserve"> CONDUIT-13 MM</t>
  </si>
  <si>
    <t xml:space="preserve"> CONDUIT-3/4 INCH</t>
  </si>
  <si>
    <t>04791M</t>
  </si>
  <si>
    <t xml:space="preserve"> CONDUIT-19 MM</t>
  </si>
  <si>
    <t xml:space="preserve"> CONDUIT-1 INCH</t>
  </si>
  <si>
    <t>04792M</t>
  </si>
  <si>
    <t xml:space="preserve"> CONDUIT-25 MM</t>
  </si>
  <si>
    <t xml:space="preserve"> CONDUIT-1 1/4 INCH</t>
  </si>
  <si>
    <t>04793M</t>
  </si>
  <si>
    <t xml:space="preserve"> CONDUIT-31 MM</t>
  </si>
  <si>
    <t xml:space="preserve"> CONDUIT-1 1/2 INCH</t>
  </si>
  <si>
    <t>04794M</t>
  </si>
  <si>
    <t xml:space="preserve"> CONDUIT-38 MM</t>
  </si>
  <si>
    <t xml:space="preserve"> CONDUIT-2 INCH</t>
  </si>
  <si>
    <t>04795M</t>
  </si>
  <si>
    <t xml:space="preserve"> CONDUIT-50 MM</t>
  </si>
  <si>
    <t xml:space="preserve"> CONDUIT-2 1/2 INCH</t>
  </si>
  <si>
    <t>04796M</t>
  </si>
  <si>
    <t xml:space="preserve"> CONDUIT-63 MM</t>
  </si>
  <si>
    <t xml:space="preserve"> JPC PAVEMENT-275 MM SHLD</t>
  </si>
  <si>
    <t xml:space="preserve"> JPC PAVEMENT-9 INCH</t>
  </si>
  <si>
    <t>02073M</t>
  </si>
  <si>
    <t xml:space="preserve"> JPC PAVEMENT-225 MM</t>
  </si>
  <si>
    <t xml:space="preserve"> JPC PAVEMENT-6 INCH</t>
  </si>
  <si>
    <t>02075M</t>
  </si>
  <si>
    <t xml:space="preserve"> JPC PAVEMENT-150 MM</t>
  </si>
  <si>
    <t xml:space="preserve"> JPC PAVEMENT-12 INCH SHLD</t>
  </si>
  <si>
    <t>02077M</t>
  </si>
  <si>
    <t xml:space="preserve"> JPC PAVEMENT-300 MM SHLD</t>
  </si>
  <si>
    <t xml:space="preserve"> JPC PAVEMENT-6 INCH SHLD</t>
  </si>
  <si>
    <t>02078M</t>
  </si>
  <si>
    <t xml:space="preserve"> JPC PAVEMENT-150 MM SHLD</t>
  </si>
  <si>
    <t xml:space="preserve"> JPC PAVEMENT-8 INCH SHLD</t>
  </si>
  <si>
    <t>02081M</t>
  </si>
  <si>
    <t xml:space="preserve"> JPC PAVEMENT-200 MM SHLD</t>
  </si>
  <si>
    <t xml:space="preserve"> JPC PAVEMENT-9 INCH SHLD</t>
  </si>
  <si>
    <t>02082M</t>
  </si>
  <si>
    <t xml:space="preserve"> JPC PAVEMENT-225 MM SHLD</t>
  </si>
  <si>
    <t xml:space="preserve"> JPC PAVEMENT-10 INCH SHLD</t>
  </si>
  <si>
    <t>02083M</t>
  </si>
  <si>
    <t xml:space="preserve"> JPC PAVEMENT-250 MM SHLD</t>
  </si>
  <si>
    <t xml:space="preserve"> JPC PAVEMENT-8 INCH</t>
  </si>
  <si>
    <t>02084M</t>
  </si>
  <si>
    <t xml:space="preserve"> JPC PAVEMENT-200 MM</t>
  </si>
  <si>
    <t xml:space="preserve"> JPC PAVEMENT-13 INCH</t>
  </si>
  <si>
    <t>02086M</t>
  </si>
  <si>
    <t>TC 66-112</t>
  </si>
  <si>
    <t>Review of Preliminary Plans</t>
  </si>
  <si>
    <t>Plans By</t>
  </si>
  <si>
    <t>Review presentation completeness:</t>
  </si>
  <si>
    <t>Location Map</t>
  </si>
  <si>
    <t>General Note</t>
  </si>
  <si>
    <t>Plan-Profile over</t>
  </si>
  <si>
    <t>Sounding Log</t>
  </si>
  <si>
    <t>Plan-Profile under</t>
  </si>
  <si>
    <t>Sounding Report</t>
  </si>
  <si>
    <t>Typ. Section, Alternate</t>
  </si>
  <si>
    <t>Cost Estimate, Alternate</t>
  </si>
  <si>
    <t>Typical Section</t>
  </si>
  <si>
    <t xml:space="preserve"> DROP BOX INLET TYPE 11 MOD</t>
  </si>
  <si>
    <t xml:space="preserve"> PERF PIPE HEADWALL TY 4-200 MM</t>
  </si>
  <si>
    <t xml:space="preserve"> PERF PIPE HEADWALL TY 4-10 IN</t>
  </si>
  <si>
    <t>01035M</t>
  </si>
  <si>
    <t xml:space="preserve"> PERF PIPE HEADWALL TY 4-250 MM</t>
  </si>
  <si>
    <t xml:space="preserve"> SEWER PIPE-4 INCH</t>
  </si>
  <si>
    <t>01050M</t>
  </si>
  <si>
    <t xml:space="preserve"> SEWER PIPE-100 MM</t>
  </si>
  <si>
    <t xml:space="preserve"> SEWER PIPE-6 INCH</t>
  </si>
  <si>
    <t>01051M</t>
  </si>
  <si>
    <t xml:space="preserve"> SEWER PIPE-150 MM</t>
  </si>
  <si>
    <t xml:space="preserve"> SEWER PIPE-8 INCH</t>
  </si>
  <si>
    <t>01052M</t>
  </si>
  <si>
    <t xml:space="preserve"> SEWER PIPE-200 MM</t>
  </si>
  <si>
    <t xml:space="preserve"> SEWER PIPE-10 INCH</t>
  </si>
  <si>
    <t>01053M</t>
  </si>
  <si>
    <t xml:space="preserve"> SEWER PIPE-250 MM</t>
  </si>
  <si>
    <t xml:space="preserve"> SEWER PIPE-12 INCH</t>
  </si>
  <si>
    <t>01054M</t>
  </si>
  <si>
    <t xml:space="preserve"> SEWER PIPE-300 MM</t>
  </si>
  <si>
    <t xml:space="preserve"> SEWER PIPE-15 INCH</t>
  </si>
  <si>
    <t>01055M</t>
  </si>
  <si>
    <t xml:space="preserve"> SEWER PIPE-375 MM</t>
  </si>
  <si>
    <t xml:space="preserve"> SEWER PIPE-18 INCH</t>
  </si>
  <si>
    <t>01056M</t>
  </si>
  <si>
    <t xml:space="preserve"> SEWER PIPE-450 MM</t>
  </si>
  <si>
    <t xml:space="preserve"> SEWER PIPE-21 INCH</t>
  </si>
  <si>
    <t>01057M</t>
  </si>
  <si>
    <t xml:space="preserve"> SEWER PIPE-525 MM</t>
  </si>
  <si>
    <t xml:space="preserve"> SEWER PIPE-24 INCH</t>
  </si>
  <si>
    <t>01058M</t>
  </si>
  <si>
    <t xml:space="preserve"> SEWER PIPE-600 MM</t>
  </si>
  <si>
    <t xml:space="preserve"> STEEL ENCASEMENT PIPE-2 INCH</t>
  </si>
  <si>
    <t>01059M</t>
  </si>
  <si>
    <t xml:space="preserve"> STEEL ENCASEMENT PIPE-50 MM</t>
  </si>
  <si>
    <t xml:space="preserve"> STEEL ENCASEMENT PIPE-3 INCH</t>
  </si>
  <si>
    <t>01060M</t>
  </si>
  <si>
    <t xml:space="preserve"> STEEL ENCASEMENT PIPE-75 MM</t>
  </si>
  <si>
    <t xml:space="preserve"> STEEL ENCASEMENT PIPE-4 INCH</t>
  </si>
  <si>
    <t>01061M</t>
  </si>
  <si>
    <t xml:space="preserve"> STEEL ENCASEMENT PIPE-100 MM</t>
  </si>
  <si>
    <t xml:space="preserve"> STEEL ENCASEMENT PIPE-6 INCH</t>
  </si>
  <si>
    <t>01063M</t>
  </si>
  <si>
    <t xml:space="preserve"> STEEL ENCASEMENT PIPE-150 MM</t>
  </si>
  <si>
    <t xml:space="preserve"> STEEL ENCASEMENT PIPE-8 INCH</t>
  </si>
  <si>
    <t>01065M</t>
  </si>
  <si>
    <t xml:space="preserve"> STEEL ENCASEMENT PIPE-200 MM</t>
  </si>
  <si>
    <t xml:space="preserve"> STEEL ENCASEMENT PIPE-10 INCH</t>
  </si>
  <si>
    <t>01067M</t>
  </si>
  <si>
    <t xml:space="preserve"> STEEL ENCASEMENT PIPE-250 MM</t>
  </si>
  <si>
    <t xml:space="preserve"> STEEL ENCASEMENT PIPE-12 INCH</t>
  </si>
  <si>
    <t>01069M</t>
  </si>
  <si>
    <t xml:space="preserve"> STEEL ENCASEMENT PIPE-300 MM</t>
  </si>
  <si>
    <t xml:space="preserve"> STEEL ENCASEMENT PIPE-14 INCH</t>
  </si>
  <si>
    <t>01071M</t>
  </si>
  <si>
    <t xml:space="preserve"> STEEL ENCASEMENT PIPE-350 MM</t>
  </si>
  <si>
    <t xml:space="preserve"> STEEL ENCASEMENT PIPE-16 INCH</t>
  </si>
  <si>
    <t>01073M</t>
  </si>
  <si>
    <t xml:space="preserve"> STEEL ENCASEMENT PIPE-400 MM</t>
  </si>
  <si>
    <t xml:space="preserve"> STEEL ENCASEMENT PIPE-18 INCH</t>
  </si>
  <si>
    <t>01075M</t>
  </si>
  <si>
    <t xml:space="preserve"> STEEL ENCASEMENT PIPE-450 MM</t>
  </si>
  <si>
    <t xml:space="preserve"> STEEL ENCASEMENT PIPE-20 INCH</t>
  </si>
  <si>
    <t>01076M</t>
  </si>
  <si>
    <t xml:space="preserve"> STEEL ENCASEMENT PIPE-500 MM</t>
  </si>
  <si>
    <t xml:space="preserve"> STEEL ENCASEMENT PIPE-24 INCH</t>
  </si>
  <si>
    <t>01081M</t>
  </si>
  <si>
    <t xml:space="preserve"> STEEL ENCASEMENT PIPE-600 MM</t>
  </si>
  <si>
    <t xml:space="preserve"> STEEL ENCASEMENT PIPE-36 INCH</t>
  </si>
  <si>
    <t>01087M</t>
  </si>
  <si>
    <t xml:space="preserve"> STEEL ENCASEMENT PIPE-900 MM</t>
  </si>
  <si>
    <t xml:space="preserve"> DUCTILE IRON PIPE-3 INCH</t>
  </si>
  <si>
    <t>01090M</t>
  </si>
  <si>
    <t xml:space="preserve"> DUCTILE IRON PIPE-75 MM</t>
  </si>
  <si>
    <t xml:space="preserve"> DUCTILE IRON PIPE-4 INCH</t>
  </si>
  <si>
    <t>01091M</t>
  </si>
  <si>
    <t xml:space="preserve"> DUCTILE IRON PIPE-100 MM</t>
  </si>
  <si>
    <t xml:space="preserve"> DUCTILE IRON PIPE-6 INCH</t>
  </si>
  <si>
    <t>01093M</t>
  </si>
  <si>
    <t xml:space="preserve"> DUCTILE IRON PIPE-150 MM</t>
  </si>
  <si>
    <t xml:space="preserve"> DUCTILE IRON PIPE-8 INCH</t>
  </si>
  <si>
    <t>01095M</t>
  </si>
  <si>
    <t>If sidewalk is provided, is there need for traffic barrier separating vehicular and pedestrian traffic?</t>
  </si>
  <si>
    <t>21.</t>
  </si>
  <si>
    <t>Is slope protection required?</t>
  </si>
  <si>
    <t>If so, are details in accordance with applicable standard drawings?</t>
  </si>
  <si>
    <t>22.</t>
  </si>
  <si>
    <t>Does beam spacing seem appropriate?</t>
  </si>
  <si>
    <t>23.</t>
  </si>
  <si>
    <t>For steel bridges, is the number of girder lines optimized?</t>
  </si>
  <si>
    <t>24.</t>
  </si>
  <si>
    <t>Does slab thickness meet minimum requirements?</t>
  </si>
  <si>
    <t>25.</t>
  </si>
  <si>
    <t>What type of expansion dam is required?</t>
  </si>
  <si>
    <t>26.</t>
  </si>
  <si>
    <t>Are elastomeric bearings being used?</t>
  </si>
  <si>
    <t>If not, why not?</t>
  </si>
  <si>
    <t>27.</t>
  </si>
  <si>
    <t>Are types of piers shown?</t>
  </si>
  <si>
    <t>28.</t>
  </si>
  <si>
    <t>29.</t>
  </si>
  <si>
    <t>Are floor drains recommended?</t>
  </si>
  <si>
    <t>30.</t>
  </si>
  <si>
    <t>Being mindful that even obscure details accepted at this stage of design will remain in the final plans, verify your approval of each plan statement, each omission, each fragment of detail.</t>
  </si>
  <si>
    <t>31.</t>
  </si>
  <si>
    <t>33.</t>
  </si>
  <si>
    <t>01379M</t>
  </si>
  <si>
    <t>01810M</t>
  </si>
  <si>
    <t xml:space="preserve"> STANDARD CURB AND GUTTER MOD</t>
  </si>
  <si>
    <t>01811M</t>
  </si>
  <si>
    <t xml:space="preserve"> REMOVE CURB AND GUTTER</t>
  </si>
  <si>
    <t>01812M</t>
  </si>
  <si>
    <t xml:space="preserve"> BARRIER CURB AND GUTTER</t>
  </si>
  <si>
    <t>01815M</t>
  </si>
  <si>
    <t xml:space="preserve"> LIP CURB AND GUTTER</t>
  </si>
  <si>
    <t>01820M</t>
  </si>
  <si>
    <t xml:space="preserve"> LIP CURB AND GUTTER MODIFIED</t>
  </si>
  <si>
    <t>01821M</t>
  </si>
  <si>
    <t xml:space="preserve"> ISLAND CURB AND GUTTER</t>
  </si>
  <si>
    <t>01825M</t>
  </si>
  <si>
    <t xml:space="preserve"> STANDARD INTEGRAL CURB</t>
  </si>
  <si>
    <t>01830M</t>
  </si>
  <si>
    <t xml:space="preserve"> STANDARD INTEGRAL CURB MOD</t>
  </si>
  <si>
    <t>01831M</t>
  </si>
  <si>
    <t xml:space="preserve"> LIP INTEGRAL CURB</t>
  </si>
  <si>
    <t>01840M</t>
  </si>
  <si>
    <t xml:space="preserve"> LIP INTEGRAL CURB MODIFIED</t>
  </si>
  <si>
    <t>01841M</t>
  </si>
  <si>
    <t xml:space="preserve"> ISLAND INTEGRAL CURB</t>
  </si>
  <si>
    <t>01845M</t>
  </si>
  <si>
    <t xml:space="preserve"> ISLAND INTEGRAL CURB MODIFIED</t>
  </si>
  <si>
    <t>01847M</t>
  </si>
  <si>
    <t xml:space="preserve"> STANDARD HEADER CURB</t>
  </si>
  <si>
    <t>01875M</t>
  </si>
  <si>
    <t xml:space="preserve"> STANDARD HEADER CURB MODIFIED</t>
  </si>
  <si>
    <t>01876M</t>
  </si>
  <si>
    <t xml:space="preserve"> SPECIAL HEADER CURB</t>
  </si>
  <si>
    <t>01877M</t>
  </si>
  <si>
    <t xml:space="preserve"> BARRIER HEADER CURB</t>
  </si>
  <si>
    <t>01880M</t>
  </si>
  <si>
    <t xml:space="preserve"> LIP HEADER CURB</t>
  </si>
  <si>
    <t>01885M</t>
  </si>
  <si>
    <t>20782NS714</t>
  </si>
  <si>
    <t xml:space="preserve"> REM OVERHEAD STRUC CONC BASE</t>
  </si>
  <si>
    <t xml:space="preserve"> REMOVE SIGN SUPPORT BEAM</t>
  </si>
  <si>
    <t>Wing Slab</t>
  </si>
  <si>
    <t>Reinforced Concrete Slab</t>
  </si>
  <si>
    <t xml:space="preserve"> Rem Epoxy Bit Foreign Overlay</t>
  </si>
  <si>
    <t>Quantity</t>
  </si>
  <si>
    <t>Cost</t>
  </si>
  <si>
    <t>Fill in the heading of this form, date and initial your handling, and attach to file.</t>
  </si>
  <si>
    <t>REVIEW SECTION ENGINEER</t>
  </si>
  <si>
    <t>Forward 3 complete sets of plans to Railroad, and/or 1 complete set to FHWA for their respective comments and approval (if applicable)</t>
  </si>
  <si>
    <t>Compare each structure layout to approved preliminary layout.</t>
  </si>
  <si>
    <t>Check the plan details and plan notes.</t>
  </si>
  <si>
    <t>a.</t>
  </si>
  <si>
    <t>Check general notes.  (Is Temporary Bridge Flooring note required?)</t>
  </si>
  <si>
    <t>b.</t>
  </si>
  <si>
    <t>Check layout sheets using Guidance Manual Article 309.</t>
  </si>
  <si>
    <t>c.</t>
  </si>
  <si>
    <t>Check title sheet using Guidance Manual Article 308.</t>
  </si>
  <si>
    <t>d.</t>
  </si>
  <si>
    <t>Check culvert details and notes using Guidance Manual Article 311.</t>
  </si>
  <si>
    <t>Check material specifications using current approved list (especially for steel structures).</t>
  </si>
  <si>
    <t>Review correspondence file for plan requirements outlined by letter, by telephone notation, by conference report, or by joint inspection</t>
  </si>
  <si>
    <t>Are Standard Drawings current?</t>
  </si>
  <si>
    <t>Are Special Provisions current?</t>
  </si>
  <si>
    <t>Are ASTM designations up to date?</t>
  </si>
  <si>
    <t>For steel bridges, are correct Charpy V-notch notes on plans?</t>
  </si>
  <si>
    <t xml:space="preserve"> PLUG WATER WELL</t>
  </si>
  <si>
    <t>02475M</t>
  </si>
  <si>
    <t xml:space="preserve"> CAP WELL</t>
  </si>
  <si>
    <t>02476M</t>
  </si>
  <si>
    <t xml:space="preserve"> CAP CATCH BASIN</t>
  </si>
  <si>
    <t>02477M</t>
  </si>
  <si>
    <t xml:space="preserve"> CAP INLET</t>
  </si>
  <si>
    <t>02478M</t>
  </si>
  <si>
    <t xml:space="preserve"> CAP MANHOLE</t>
  </si>
  <si>
    <t>02479M</t>
  </si>
  <si>
    <t xml:space="preserve"> CHANNEL LINING CLASS I</t>
  </si>
  <si>
    <t>02481M</t>
  </si>
  <si>
    <t xml:space="preserve"> CHANNEL LINING CLASS IA</t>
  </si>
  <si>
    <t>02482M</t>
  </si>
  <si>
    <t xml:space="preserve"> CHANNEL LINING CLASS II</t>
  </si>
  <si>
    <t>02483M</t>
  </si>
  <si>
    <t xml:space="preserve"> CHANNEL LINING CLASS III</t>
  </si>
  <si>
    <t>02484M</t>
  </si>
  <si>
    <t xml:space="preserve"> CHANNEL LINING CLASS IV</t>
  </si>
  <si>
    <t>02488M</t>
  </si>
  <si>
    <t xml:space="preserve"> CALCIUM CHLORIDE</t>
  </si>
  <si>
    <t>02535M</t>
  </si>
  <si>
    <t xml:space="preserve"> CEMENT</t>
  </si>
  <si>
    <t>02542M</t>
  </si>
  <si>
    <t xml:space="preserve"> CLEARING AND GRUBBING</t>
  </si>
  <si>
    <t xml:space="preserve"> CONCRETE-CLASS A FOR STEPS</t>
  </si>
  <si>
    <t>02551M</t>
  </si>
  <si>
    <t xml:space="preserve"> CONCRETE-CLASS B</t>
  </si>
  <si>
    <t>02555M</t>
  </si>
  <si>
    <t xml:space="preserve"> CONCRETE CAP</t>
  </si>
  <si>
    <t>02556M</t>
  </si>
  <si>
    <t xml:space="preserve"> SIGNS</t>
  </si>
  <si>
    <t>02562M</t>
  </si>
  <si>
    <t xml:space="preserve"> OBJECT MARKER TYPE 2</t>
  </si>
  <si>
    <t xml:space="preserve"> DELINEATOR POSTS</t>
  </si>
  <si>
    <t xml:space="preserve"> MOBILIZATION</t>
  </si>
  <si>
    <t xml:space="preserve"> DEMOBILIZATION</t>
  </si>
  <si>
    <t xml:space="preserve"> PROJECT CPM SCHEDULE</t>
  </si>
  <si>
    <t xml:space="preserve"> INCENTIVE/DISINCENTIVE</t>
  </si>
  <si>
    <t xml:space="preserve"> DOLL</t>
  </si>
  <si>
    <t xml:space="preserve"> QUALITY CONTROL</t>
  </si>
  <si>
    <t xml:space="preserve"> DITCHING AND SHOULDERING</t>
  </si>
  <si>
    <t>02575M</t>
  </si>
  <si>
    <t xml:space="preserve"> EDGE KEY MODIFIED</t>
  </si>
  <si>
    <t>02585M</t>
  </si>
  <si>
    <t xml:space="preserve"> HOOK BOLT WITH EXPAN ANCHOR</t>
  </si>
  <si>
    <t xml:space="preserve"> FABRIC-GEOTEXTILE TYPE I</t>
  </si>
  <si>
    <t>02596M</t>
  </si>
  <si>
    <t xml:space="preserve"> FABRIC-GEOTEXTILE TYPE II</t>
  </si>
  <si>
    <t>02597M</t>
  </si>
  <si>
    <t xml:space="preserve"> FABRIC-GEOTEXTILE TYPE III</t>
  </si>
  <si>
    <t>02598M</t>
  </si>
  <si>
    <t xml:space="preserve"> FABRIC-GEOTEXTILE TYPE IV</t>
  </si>
  <si>
    <t>02599M</t>
  </si>
  <si>
    <t xml:space="preserve"> FINAL DRESSING CLASS B</t>
  </si>
  <si>
    <t>02601M</t>
  </si>
  <si>
    <t xml:space="preserve"> REMOVE &amp; RESET FIRE HYDRANT</t>
  </si>
  <si>
    <t xml:space="preserve"> FIRE HYDRANT</t>
  </si>
  <si>
    <t xml:space="preserve"> RETAINING WALL-GABION</t>
  </si>
  <si>
    <t>02610M</t>
  </si>
  <si>
    <t xml:space="preserve"> HANDRAIL-TYPE A-1</t>
  </si>
  <si>
    <t>02611M</t>
  </si>
  <si>
    <t xml:space="preserve"> HANDRAIL-TYPE A-2</t>
  </si>
  <si>
    <t>02612M</t>
  </si>
  <si>
    <t xml:space="preserve"> HANDRAIL-TYPE A-3</t>
  </si>
  <si>
    <t>02613M</t>
  </si>
  <si>
    <t xml:space="preserve"> HANDRAIL-TYPE A-4</t>
  </si>
  <si>
    <t>02614M</t>
  </si>
  <si>
    <t xml:space="preserve"> HANDRAIL-TYPE C SINGLE</t>
  </si>
  <si>
    <t>02615M</t>
  </si>
  <si>
    <t xml:space="preserve"> HANDRAIL-TYPE C DOUBLE</t>
  </si>
  <si>
    <t>02616M</t>
  </si>
  <si>
    <t xml:space="preserve"> DEFLECTOR-DUMPED STONE</t>
  </si>
  <si>
    <t xml:space="preserve"> DEFLECTOR-GABION</t>
  </si>
  <si>
    <t xml:space="preserve"> HANDRAIL-TYPE A</t>
  </si>
  <si>
    <t>02619M</t>
  </si>
  <si>
    <t xml:space="preserve"> HANDRAIL-TYPE B</t>
  </si>
  <si>
    <t>02620M</t>
  </si>
  <si>
    <t xml:space="preserve"> RIFFLE STRUCTURE-GABION</t>
  </si>
  <si>
    <t xml:space="preserve"> REMOVE HEADWALL</t>
  </si>
  <si>
    <t xml:space="preserve"> MAINTAIN &amp; CONTROL TRAFFIC</t>
  </si>
  <si>
    <t xml:space="preserve"> DIVERSIONS (BY-PASS DETOURS)</t>
  </si>
  <si>
    <t xml:space="preserve"> LANE CLOSURE</t>
  </si>
  <si>
    <t xml:space="preserve"> TRUCK MOUNTED ATTENUATOR</t>
  </si>
  <si>
    <t xml:space="preserve"> CROSSOVER</t>
  </si>
  <si>
    <t xml:space="preserve"> VAR MESSAGE SIGN-PORT 3 LINE</t>
  </si>
  <si>
    <t xml:space="preserve"> PRECAST VEHICLE STOP</t>
  </si>
  <si>
    <t>02673M</t>
  </si>
  <si>
    <t xml:space="preserve"> MOBILIZATION FOR MILL &amp; TEXT</t>
  </si>
  <si>
    <t xml:space="preserve"> ASPH PAVE MILLING &amp; TEXTURING</t>
  </si>
  <si>
    <t>02677M</t>
  </si>
  <si>
    <t xml:space="preserve"> SCARIFYING PAVEMENT</t>
  </si>
  <si>
    <t>02678M</t>
  </si>
  <si>
    <t xml:space="preserve"> POROUS UNDERDRAIN</t>
  </si>
  <si>
    <t>02679M</t>
  </si>
  <si>
    <t xml:space="preserve"> SAFELOADING</t>
  </si>
  <si>
    <t>02690M</t>
  </si>
  <si>
    <t xml:space="preserve"> SETTLEMENT PLATFORM</t>
  </si>
  <si>
    <t xml:space="preserve"> RUMBLE STRIPS TYPE 1</t>
  </si>
  <si>
    <t>02693M</t>
  </si>
  <si>
    <t xml:space="preserve"> RUMBLE STRIPS TYPE 2</t>
  </si>
  <si>
    <t>02694M</t>
  </si>
  <si>
    <t xml:space="preserve"> RUMBLE STRIPS TYPE 3</t>
  </si>
  <si>
    <t>02695M</t>
  </si>
  <si>
    <t xml:space="preserve"> RECYCLED &amp; STABILIZED DGA SHLD</t>
  </si>
  <si>
    <t>02698M</t>
  </si>
  <si>
    <t xml:space="preserve"> SOIL REINFORCING MAT</t>
  </si>
  <si>
    <t>02699M</t>
  </si>
  <si>
    <t xml:space="preserve"> SAND</t>
  </si>
  <si>
    <t>02700M</t>
  </si>
  <si>
    <t>*</t>
  </si>
  <si>
    <t>* for Foundation Preparation on 'culverts, input a separate cost for each culvert</t>
  </si>
  <si>
    <t xml:space="preserve"> CONC TERMINAL SECTION TYPE 1</t>
  </si>
  <si>
    <t xml:space="preserve"> CONC TERMINAL SECTION TY 1 MOD</t>
  </si>
  <si>
    <t xml:space="preserve"> CONC MEDIAN BARRIER TYPE 12C</t>
  </si>
  <si>
    <t>01967M</t>
  </si>
  <si>
    <t xml:space="preserve"> CONC MEDIAN BARRIER TYPE 300C</t>
  </si>
  <si>
    <t xml:space="preserve"> DELINEATOR FOR GUARDRAIL-WHITE</t>
  </si>
  <si>
    <t xml:space="preserve"> DELINEATOR FOR GUARDRAIL-YELLOW</t>
  </si>
  <si>
    <t xml:space="preserve"> DELINEATOR FOR BARRIER-WHITE</t>
  </si>
  <si>
    <t xml:space="preserve"> DELINEATOR FOR BARRIER-YELLOW</t>
  </si>
  <si>
    <t xml:space="preserve"> CONC MEDIAN BARRIER TYPE 14C1</t>
  </si>
  <si>
    <t>01988M</t>
  </si>
  <si>
    <t xml:space="preserve"> CONC MEDIAN BARRIER TYPE 350C1</t>
  </si>
  <si>
    <t xml:space="preserve"> CONC MEDIAN BARRIER TYPE 14C2</t>
  </si>
  <si>
    <t>01989M</t>
  </si>
  <si>
    <t xml:space="preserve"> CONC MEDIAN BARRIER TYPE 350C2</t>
  </si>
  <si>
    <t xml:space="preserve"> INSTALL TEMP CONC MED BARR</t>
  </si>
  <si>
    <t>01992M</t>
  </si>
  <si>
    <t xml:space="preserve"> CONC MEDIAN BARRIER TYPE 9A</t>
  </si>
  <si>
    <t>01999M</t>
  </si>
  <si>
    <t xml:space="preserve"> CONC MEDIAN BARRIER TYPE 230A</t>
  </si>
  <si>
    <t xml:space="preserve"> CONCRETE BARRIER WALL MODIFIED</t>
  </si>
  <si>
    <t>02000M</t>
  </si>
  <si>
    <t xml:space="preserve"> CURB TO BARRIER WALL TRANS</t>
  </si>
  <si>
    <t xml:space="preserve"> REMOVE TEMP CONC BARRIER WALL</t>
  </si>
  <si>
    <t>02002M</t>
  </si>
  <si>
    <t xml:space="preserve"> RELOCATE TEMP CONC MED BARRIER</t>
  </si>
  <si>
    <t>02003M</t>
  </si>
  <si>
    <t xml:space="preserve"> RELOCATE WATER-FILLED BARRIERS</t>
  </si>
  <si>
    <t>02004M</t>
  </si>
  <si>
    <t xml:space="preserve"> WATER-FILLED BARRIERS</t>
  </si>
  <si>
    <t>02005M</t>
  </si>
  <si>
    <t xml:space="preserve"> REMOVE CONCRETE MEDIAN</t>
  </si>
  <si>
    <t>02006M</t>
  </si>
  <si>
    <t xml:space="preserve"> REMOVE ASPHALT MEDIAN</t>
  </si>
  <si>
    <t>02008M</t>
  </si>
  <si>
    <t xml:space="preserve"> CL3 ASPH BASE 1.50D PG64-22</t>
  </si>
  <si>
    <t>00205M</t>
  </si>
  <si>
    <t xml:space="preserve"> CL3 ASPH BASE 37.5D PG64-22</t>
  </si>
  <si>
    <t xml:space="preserve"> CL3 ASPH BASE 1.50D PG70-22</t>
  </si>
  <si>
    <t>00206M</t>
  </si>
  <si>
    <t xml:space="preserve"> CL3 ASPH BASE 37.5D PG70-22</t>
  </si>
  <si>
    <t xml:space="preserve"> CL3 ASPH BASE 1.50D PG76-22</t>
  </si>
  <si>
    <t>00207M</t>
  </si>
  <si>
    <t xml:space="preserve"> CL3 ASPH BASE 37.5D PG76-22</t>
  </si>
  <si>
    <t xml:space="preserve"> CL4 ASPH BASE 1.50D PG64-22</t>
  </si>
  <si>
    <t>00208M</t>
  </si>
  <si>
    <t xml:space="preserve"> CL4 ASPH BASE 37.5D PG64-22</t>
  </si>
  <si>
    <t xml:space="preserve"> CL4 ASPH BASE 1.50D PG70-22</t>
  </si>
  <si>
    <t>00209M</t>
  </si>
  <si>
    <t xml:space="preserve"> CL4 ASPH BASE 37.5D PG70-22</t>
  </si>
  <si>
    <t xml:space="preserve"> CL4 ASPH BASE 1.50D PG76-22</t>
  </si>
  <si>
    <t>00210M</t>
  </si>
  <si>
    <t xml:space="preserve"> CL4 ASPH BASE 37.5D PG76-22</t>
  </si>
  <si>
    <t xml:space="preserve"> CL1 ASPH BASE 1.00D PG64-22</t>
  </si>
  <si>
    <t>00211M</t>
  </si>
  <si>
    <t xml:space="preserve"> CL1 ASPH BASE 25.0D PG64-22</t>
  </si>
  <si>
    <t xml:space="preserve"> CL2 ASPH BASE 1.00D PG64-22</t>
  </si>
  <si>
    <t>00212M</t>
  </si>
  <si>
    <t>Are all bid items included in tables on sheet?</t>
  </si>
  <si>
    <t>If end bent backfill is used, is there a quantity item for this?</t>
  </si>
  <si>
    <t>GENERAL NOTES SHEET</t>
  </si>
  <si>
    <t>Is the following note on plans for curved girders?</t>
  </si>
  <si>
    <t>Girder Fabrication:  Flange plates and horizontal stiffeners shall be cut or heat curved to provide for the proper horizontal radius of the girder.</t>
  </si>
  <si>
    <t>Where applicable, the following note should be on plans:</t>
  </si>
  <si>
    <t>Do not lap splice reinforcement bar sizes larger than #11. Where the bar size exceeds #11, use a welded splice or suitably welded sleeve or mechanical device.</t>
  </si>
  <si>
    <t>Have the General Notes been checked?</t>
  </si>
  <si>
    <t>Are approach slabs required?</t>
  </si>
  <si>
    <t>Are all piling spacing less than or equal to 8 ft?</t>
  </si>
  <si>
    <t>If piling is used, is length of test pile shown?</t>
  </si>
  <si>
    <t>Is north arrow shown?</t>
  </si>
  <si>
    <t>Are proper "ahead" stations shown?</t>
  </si>
  <si>
    <t>Is structure, as drawn, capable of being staked out?</t>
  </si>
  <si>
    <t>Check that the layout sheet shows:</t>
  </si>
  <si>
    <t>end of bridge station</t>
  </si>
  <si>
    <t>bottom of footing elevation to two decimal places</t>
  </si>
  <si>
    <t>actual vertical clearance</t>
  </si>
  <si>
    <t>navigation permits</t>
  </si>
  <si>
    <t>e.</t>
  </si>
  <si>
    <t>railroad clearance</t>
  </si>
  <si>
    <t>f.</t>
  </si>
  <si>
    <t>aeronautical requirements</t>
  </si>
  <si>
    <t>ABUTMENTS OR END BENTS</t>
  </si>
  <si>
    <t xml:space="preserve"> ENTRANCE PIPE-600 MM</t>
  </si>
  <si>
    <t xml:space="preserve"> ENTRANCE PIPE-30 INCH</t>
  </si>
  <si>
    <t>00445M</t>
  </si>
  <si>
    <t xml:space="preserve"> ENTRANCE PIPE-750 MM</t>
  </si>
  <si>
    <t xml:space="preserve"> ENTRANCE PIPE-15 INCH EQUIV</t>
  </si>
  <si>
    <t>00450M</t>
  </si>
  <si>
    <t xml:space="preserve"> ENTRANCE PIPE-375 MM EQUIV</t>
  </si>
  <si>
    <t xml:space="preserve"> ENTRANCE PIPE-18 INCH EQUIV</t>
  </si>
  <si>
    <t>00451M</t>
  </si>
  <si>
    <t xml:space="preserve"> ENTRANCE PIPE-450 MM EQUIV</t>
  </si>
  <si>
    <t xml:space="preserve"> ENTRANCE PIPE-24 INCH EQUIV</t>
  </si>
  <si>
    <t>00452M</t>
  </si>
  <si>
    <t xml:space="preserve"> ENTRANCE PIPE-600 MM EQUIV</t>
  </si>
  <si>
    <t xml:space="preserve"> ENTRANCE PIPE-30 INCH EQUIV</t>
  </si>
  <si>
    <t>00454M</t>
  </si>
  <si>
    <t xml:space="preserve"> ENTRANCE PIPE-750 MM EQUIV</t>
  </si>
  <si>
    <t xml:space="preserve"> CULVERT PIPE-12 INCH</t>
  </si>
  <si>
    <t>00460M</t>
  </si>
  <si>
    <t xml:space="preserve"> CULVERT PIPE-300 MM</t>
  </si>
  <si>
    <t xml:space="preserve"> CULVERT PIPE-15 INCH</t>
  </si>
  <si>
    <t>00461M</t>
  </si>
  <si>
    <t xml:space="preserve"> CULVERT PIPE-375 MM</t>
  </si>
  <si>
    <t xml:space="preserve"> CULVERT PIPE-18 INCH</t>
  </si>
  <si>
    <t>00462M</t>
  </si>
  <si>
    <t xml:space="preserve"> CULVERT PIPE-450 MM</t>
  </si>
  <si>
    <t xml:space="preserve"> CULVERT PIPE-21 INCH</t>
  </si>
  <si>
    <t>00463M</t>
  </si>
  <si>
    <t xml:space="preserve"> CULVERT PIPE-525 MM</t>
  </si>
  <si>
    <t xml:space="preserve"> CULVERT PIPE-24 INCH</t>
  </si>
  <si>
    <t>00464M</t>
  </si>
  <si>
    <t xml:space="preserve"> CULVERT PIPE-600 MM</t>
  </si>
  <si>
    <t xml:space="preserve"> CULVERT PIPE-27 INCH</t>
  </si>
  <si>
    <t>00465M</t>
  </si>
  <si>
    <t xml:space="preserve"> CULVERT PIPE-675 MM</t>
  </si>
  <si>
    <t xml:space="preserve"> CULVERT PIPE-30 INCH</t>
  </si>
  <si>
    <t>00466M</t>
  </si>
  <si>
    <t xml:space="preserve"> CULVERT PIPE-750 MM</t>
  </si>
  <si>
    <t xml:space="preserve"> CULVERT PIPE-33 INCH</t>
  </si>
  <si>
    <t>00467M</t>
  </si>
  <si>
    <t xml:space="preserve"> CULVERT PIPE-825 MM</t>
  </si>
  <si>
    <t xml:space="preserve"> CULVERT PIPE-36 INCH</t>
  </si>
  <si>
    <t>00468M</t>
  </si>
  <si>
    <t xml:space="preserve"> CULVERT PIPE-900 MM</t>
  </si>
  <si>
    <t xml:space="preserve"> CULVERT PIPE-42 INCH</t>
  </si>
  <si>
    <t>00469M</t>
  </si>
  <si>
    <t xml:space="preserve"> CULVERT PIPE-1050 MM</t>
  </si>
  <si>
    <t xml:space="preserve"> CULVERT PIPE-48 INCH</t>
  </si>
  <si>
    <t>00470M</t>
  </si>
  <si>
    <t xml:space="preserve"> CULVERT PIPE-1200 MM</t>
  </si>
  <si>
    <t xml:space="preserve"> CULVERT PIPE-54 INCH</t>
  </si>
  <si>
    <t>00471M</t>
  </si>
  <si>
    <t xml:space="preserve"> CULVERT PIPE-1350 MM</t>
  </si>
  <si>
    <t xml:space="preserve"> CULVERT PIPE-60 INCH</t>
  </si>
  <si>
    <t>00472M</t>
  </si>
  <si>
    <t xml:space="preserve"> CULVERT PIPE-1500 MM</t>
  </si>
  <si>
    <t xml:space="preserve"> CULVERT PIPE-66 INCH</t>
  </si>
  <si>
    <t>00473M</t>
  </si>
  <si>
    <t xml:space="preserve"> CULVERT PIPE-1650 MM</t>
  </si>
  <si>
    <t xml:space="preserve"> CULVERT PIPE-72 INCH</t>
  </si>
  <si>
    <t>00474M</t>
  </si>
  <si>
    <t xml:space="preserve"> CULVERT PIPE-1800 MM</t>
  </si>
  <si>
    <t xml:space="preserve"> CULVERT PIPE-78 INCH</t>
  </si>
  <si>
    <t>00475M</t>
  </si>
  <si>
    <t xml:space="preserve"> CULVERT PIPE-1950 MM</t>
  </si>
  <si>
    <t xml:space="preserve"> CULVERT PIPE-84 INCH</t>
  </si>
  <si>
    <t>00476M</t>
  </si>
  <si>
    <t xml:space="preserve"> CULVERT PIPE-2100 MM</t>
  </si>
  <si>
    <t xml:space="preserve"> CULVERT PIPE-90 INCH</t>
  </si>
  <si>
    <t>00477M</t>
  </si>
  <si>
    <t xml:space="preserve"> CULVERT PIPE-2250 MM</t>
  </si>
  <si>
    <t xml:space="preserve"> CULVERT PIPE-96 INCH</t>
  </si>
  <si>
    <t>00478M</t>
  </si>
  <si>
    <t xml:space="preserve"> CULVERT PIPE-2400 MM</t>
  </si>
  <si>
    <t xml:space="preserve"> CULVERT PIPE-102 INCH</t>
  </si>
  <si>
    <t>00479M</t>
  </si>
  <si>
    <t xml:space="preserve"> CULVERT PIPE-2550 MM</t>
  </si>
  <si>
    <t xml:space="preserve"> CULVERT PIPE-108 INCH</t>
  </si>
  <si>
    <t>00480M</t>
  </si>
  <si>
    <t xml:space="preserve"> CULVERT PIPE-2700 MM</t>
  </si>
  <si>
    <t xml:space="preserve"> CULVERT PIPE-114 INCH</t>
  </si>
  <si>
    <t>00481M</t>
  </si>
  <si>
    <t xml:space="preserve"> CULVERT PIPE-2850 MM</t>
  </si>
  <si>
    <t>Closed</t>
  </si>
  <si>
    <t>Skew</t>
  </si>
  <si>
    <t>Structure Type &amp; Span Arrangement</t>
  </si>
  <si>
    <t>Total Bridge Length</t>
  </si>
  <si>
    <t>Bridge Roadway Width (gutter to gutter)</t>
  </si>
  <si>
    <t>Deck Width (out to out)</t>
  </si>
  <si>
    <t>Vertical Clearance over Deck</t>
  </si>
  <si>
    <t>Under Clearance - Vertical</t>
  </si>
  <si>
    <t>Under Clearance - Lateral/right</t>
  </si>
  <si>
    <t>Under Clearance - Lateral/left</t>
  </si>
  <si>
    <t>Wearing Surface</t>
  </si>
  <si>
    <t>SUMMARY OF BRIDGE DESIGN DATA</t>
  </si>
  <si>
    <t>STATUS REPORT ITEM</t>
  </si>
  <si>
    <t>DESIGN LOAD</t>
  </si>
  <si>
    <t>BRIDGE ROADWAY</t>
  </si>
  <si>
    <t>CROSSING</t>
  </si>
  <si>
    <t>BRIDGE WIDTH</t>
  </si>
  <si>
    <t>DESIGNER</t>
  </si>
  <si>
    <t>TOTAL LENGTH</t>
  </si>
  <si>
    <t>DECK AREA</t>
  </si>
  <si>
    <t>BRIDGE TYPE</t>
  </si>
  <si>
    <t>FRAMING</t>
  </si>
  <si>
    <t>Additional Culvert Item #1</t>
  </si>
  <si>
    <t>Additional Culvert Item #2</t>
  </si>
  <si>
    <t>Additional Culvert Item #3</t>
  </si>
  <si>
    <t>Additional Culvert Item #4</t>
  </si>
  <si>
    <t>Additional Culvert Item #5</t>
  </si>
  <si>
    <t>Additional Culvert Item #6</t>
  </si>
  <si>
    <t>ADDITIONAL BRIDGE ITEMS (Input by user)</t>
  </si>
  <si>
    <t xml:space="preserve"> METAL END SECTION TY 4-600 MM</t>
  </si>
  <si>
    <t xml:space="preserve"> METAL END SECTION TY 4-30 INCH</t>
  </si>
  <si>
    <t>01414M</t>
  </si>
  <si>
    <t xml:space="preserve"> METAL END SECTION TY 4-750 MM</t>
  </si>
  <si>
    <t xml:space="preserve"> METAL END SECTION TY 4-36 INCH</t>
  </si>
  <si>
    <t>01415M</t>
  </si>
  <si>
    <t xml:space="preserve"> METAL END SECTION TY 4-900 MM</t>
  </si>
  <si>
    <t xml:space="preserve"> METAL END SECTION TY 4-42 INCH</t>
  </si>
  <si>
    <t>01416M</t>
  </si>
  <si>
    <t xml:space="preserve"> METAL END SECTION TY 4-1050 MM</t>
  </si>
  <si>
    <t xml:space="preserve"> METAL END SECTION TY 4-48 INCH</t>
  </si>
  <si>
    <t>01417M</t>
  </si>
  <si>
    <t xml:space="preserve"> METAL END SECTION TY 4-1200 MM</t>
  </si>
  <si>
    <t xml:space="preserve"> METAL END SECTION TY 4-54 INCH</t>
  </si>
  <si>
    <t>01418M</t>
  </si>
  <si>
    <t xml:space="preserve"> METAL END SECTION TY 4-1350 MM</t>
  </si>
  <si>
    <t xml:space="preserve"> METAL END SECTION TY 4-60 INCH</t>
  </si>
  <si>
    <t>01419M</t>
  </si>
  <si>
    <t xml:space="preserve"> METAL END SECTION TY 4-1500 MM</t>
  </si>
  <si>
    <t xml:space="preserve"> SLOPED BOX OUTLET TYPE 1-12 IN</t>
  </si>
  <si>
    <t>01428M</t>
  </si>
  <si>
    <t xml:space="preserve"> SLOPED BOX OUTLET TYPE 1-300 MM</t>
  </si>
  <si>
    <t xml:space="preserve"> SLOPED BOX OUTLET TYPE 1-15 IN</t>
  </si>
  <si>
    <t>01432M</t>
  </si>
  <si>
    <t xml:space="preserve"> SLOPED BOX OUTLET TY 1-375 MM</t>
  </si>
  <si>
    <t>BGX-004-09</t>
  </si>
  <si>
    <t>BGX-005-09</t>
  </si>
  <si>
    <t>APP SL</t>
  </si>
  <si>
    <t>REPAIR</t>
  </si>
  <si>
    <t>BGX-009-04</t>
  </si>
  <si>
    <t>Bridge Restoration &amp; Waterproofing w/ concrete overlays</t>
  </si>
  <si>
    <t>BGX-016-01</t>
  </si>
  <si>
    <t>BPC-002-08</t>
  </si>
  <si>
    <t>BPC-011-07</t>
  </si>
  <si>
    <t>14" Reinforced Concrete Pile</t>
  </si>
  <si>
    <t>14" Precast Prestressed Concrete Pile</t>
  </si>
  <si>
    <t>HP 14X73 Steel Pile</t>
  </si>
  <si>
    <t>Item</t>
  </si>
  <si>
    <t>Unit Price</t>
  </si>
  <si>
    <t>TOTALS</t>
  </si>
  <si>
    <t>Cost per Deck Area</t>
  </si>
  <si>
    <t>Units</t>
  </si>
  <si>
    <t>Bridge</t>
  </si>
  <si>
    <t>FINAL BID</t>
  </si>
  <si>
    <t>FINAL PLANS ESTIMATE</t>
  </si>
  <si>
    <t>TC 66-101</t>
  </si>
  <si>
    <t>CULVERT
TOTALS</t>
  </si>
  <si>
    <t>CONCRETE CLASS A</t>
  </si>
  <si>
    <t>STRUCTURE EXCAVATION COMMON</t>
  </si>
  <si>
    <t>STRUCTURE EXCAVATION SOLID ROCK</t>
  </si>
  <si>
    <t>TOTAL SHEETS</t>
  </si>
  <si>
    <t>N O T E S   &amp;  S P E C I A L  P R O V I S I O N S</t>
  </si>
  <si>
    <t>SUPRSTR.</t>
  </si>
  <si>
    <t>Elastomeric Bearing Pads for Prestressed Beams</t>
  </si>
  <si>
    <t>Elastomeric Bearing Pads for Box Beams</t>
  </si>
  <si>
    <t>Railing System Type II</t>
  </si>
  <si>
    <t>Railing System Type II Guardrail Treatment</t>
  </si>
  <si>
    <t>Concrete Slopewalls for Grade Separation Bridges</t>
  </si>
  <si>
    <t>Guardrail Posts</t>
  </si>
  <si>
    <t xml:space="preserve"> DROP BOX INLET TYPE 12</t>
  </si>
  <si>
    <t>01547M</t>
  </si>
  <si>
    <t xml:space="preserve"> DROP BOX INLET TYPE 12A</t>
  </si>
  <si>
    <t>01550M</t>
  </si>
  <si>
    <t xml:space="preserve"> DROP BOX INLET TYPE 13G</t>
  </si>
  <si>
    <t xml:space="preserve"> DROP BOX INLET TYPE 13GB</t>
  </si>
  <si>
    <t xml:space="preserve"> DROP BOX INLET TYPE 13GT</t>
  </si>
  <si>
    <t xml:space="preserve"> DROP BOX INLET TYPE 13S</t>
  </si>
  <si>
    <t xml:space="preserve"> DROP BOX INLET TYPE 13SB</t>
  </si>
  <si>
    <t xml:space="preserve"> DROP BOX INLET TYPE 13ST</t>
  </si>
  <si>
    <t xml:space="preserve"> DROP BOX INLET TYPE 14</t>
  </si>
  <si>
    <t xml:space="preserve"> DROP BOX INLET TYPE 15</t>
  </si>
  <si>
    <t>Award Date</t>
  </si>
  <si>
    <t>Awarded:</t>
  </si>
  <si>
    <t>Letting:</t>
  </si>
  <si>
    <t>BID</t>
  </si>
  <si>
    <t>Roadway Alignment</t>
  </si>
  <si>
    <t>Curved</t>
  </si>
  <si>
    <t>Straight, Curved, Both, Flared</t>
  </si>
  <si>
    <t>ROAD ALIGNMENT</t>
  </si>
  <si>
    <t>adjust width for correct area</t>
  </si>
  <si>
    <t>i.e., super transitions, curved layout description, sidewalks, etc.</t>
  </si>
  <si>
    <t>ITEM DESCRIPTION</t>
  </si>
  <si>
    <t>QUANTITY</t>
  </si>
  <si>
    <t>TON</t>
  </si>
  <si>
    <t>SQYD</t>
  </si>
  <si>
    <t>CUYD</t>
  </si>
  <si>
    <t xml:space="preserve"> SELECT TOPFILL</t>
  </si>
  <si>
    <t>02221M</t>
  </si>
  <si>
    <t xml:space="preserve"> GRANULAR EMBANKMENT</t>
  </si>
  <si>
    <t>02223M</t>
  </si>
  <si>
    <t xml:space="preserve"> EARTHWORK</t>
  </si>
  <si>
    <t xml:space="preserve"> MILE</t>
  </si>
  <si>
    <t>02225M</t>
  </si>
  <si>
    <t xml:space="preserve"> KM</t>
  </si>
  <si>
    <t xml:space="preserve"> EMBANKMENT IN PLACE</t>
  </si>
  <si>
    <t>02230M</t>
  </si>
  <si>
    <t xml:space="preserve"> STRUCTURE GRANULAR BACKFILL</t>
  </si>
  <si>
    <t>02231M</t>
  </si>
  <si>
    <t xml:space="preserve"> SPECIAL EMBANKMENT</t>
  </si>
  <si>
    <t>02233M</t>
  </si>
  <si>
    <t xml:space="preserve"> BACKFILLING UNDERCUT</t>
  </si>
  <si>
    <t>02235M</t>
  </si>
  <si>
    <t xml:space="preserve"> DITCHING</t>
  </si>
  <si>
    <t>02237M</t>
  </si>
  <si>
    <t xml:space="preserve"> REMOVE UNDERGROUND TANK</t>
  </si>
  <si>
    <t xml:space="preserve"> RESHAPING AND COMPACTING</t>
  </si>
  <si>
    <t>02241M</t>
  </si>
  <si>
    <t xml:space="preserve"> WATER</t>
  </si>
  <si>
    <t xml:space="preserve"> MGAL</t>
  </si>
  <si>
    <t>00317M</t>
  </si>
  <si>
    <t xml:space="preserve"> CL4 ASPH SURF 12.5D PG76-22</t>
  </si>
  <si>
    <t xml:space="preserve"> CL3 ASPH SURF 0.50C PG64-22</t>
  </si>
  <si>
    <t>00318M</t>
  </si>
  <si>
    <t xml:space="preserve"> CL3 ASPH SURF 12.5C PG64-22</t>
  </si>
  <si>
    <t xml:space="preserve"> CL3 ASPH SURF 0.50C PG70-22</t>
  </si>
  <si>
    <t>00319M</t>
  </si>
  <si>
    <t xml:space="preserve"> CL3 ASPH SURF 12.5C PG70-22</t>
  </si>
  <si>
    <t xml:space="preserve"> CL3 ASPH SURF 0.50C PG76-22</t>
  </si>
  <si>
    <t>00320M</t>
  </si>
  <si>
    <t xml:space="preserve"> CL3 ASPH SURF 12.5C PG76-22</t>
  </si>
  <si>
    <t xml:space="preserve"> CL4 ASPH SURF 0.50C PG64-22</t>
  </si>
  <si>
    <t>00321M</t>
  </si>
  <si>
    <t xml:space="preserve"> CL4 ASPH SURF 12.5C PG64-22</t>
  </si>
  <si>
    <t xml:space="preserve"> CL4 ASPH SURF 0.50C PG70-22</t>
  </si>
  <si>
    <t>00322M</t>
  </si>
  <si>
    <t xml:space="preserve"> CL4 ASPH SURF 12.5C PG70-22</t>
  </si>
  <si>
    <t xml:space="preserve"> CL4 ASPH SURF 0.50C PG76-22</t>
  </si>
  <si>
    <t>00323M</t>
  </si>
  <si>
    <t xml:space="preserve"> CL4 ASPH SURF 12.5C PG76-22</t>
  </si>
  <si>
    <t xml:space="preserve"> CL3 ASPH SURF 0.50B PG64-22</t>
  </si>
  <si>
    <t>00324M</t>
  </si>
  <si>
    <t xml:space="preserve"> CL3 ASPH SURF 12.5B PG64-22</t>
  </si>
  <si>
    <t xml:space="preserve"> CL2 ASPH BASE 25.0D PG64-22</t>
  </si>
  <si>
    <t xml:space="preserve"> CL2 ASPH BASE 1.00D PG70-22</t>
  </si>
  <si>
    <t>00213M</t>
  </si>
  <si>
    <t xml:space="preserve"> CL2 ASPH BASE 25.0D PG70-22</t>
  </si>
  <si>
    <t xml:space="preserve"> CL3 ASPH BASE 1.00D PG64-22</t>
  </si>
  <si>
    <t>00214M</t>
  </si>
  <si>
    <t xml:space="preserve"> CL3 ASPH BASE 25.0D PG64-22</t>
  </si>
  <si>
    <t xml:space="preserve"> CL3 ASPH BASE 1.00D PG70-22</t>
  </si>
  <si>
    <t>00215M</t>
  </si>
  <si>
    <t xml:space="preserve"> CL3 ASPH BASE 25.0D PG70-22</t>
  </si>
  <si>
    <t xml:space="preserve"> CL3 ASPH BASE 1.00D PG76-22</t>
  </si>
  <si>
    <t>00216M</t>
  </si>
  <si>
    <t xml:space="preserve"> CL3 ASPH BASE 25.0D PG76-22</t>
  </si>
  <si>
    <t xml:space="preserve"> CL4 ASPH BASE 1.00D PG64-22</t>
  </si>
  <si>
    <t>00217M</t>
  </si>
  <si>
    <t xml:space="preserve"> CL4 ASPH BASE 25.0D PG64-22</t>
  </si>
  <si>
    <t xml:space="preserve"> CL4 ASPH BASE 1.00D PG70-22</t>
  </si>
  <si>
    <t>00218M</t>
  </si>
  <si>
    <t xml:space="preserve"> CL4 ASPH BASE 25.0D PG70-22</t>
  </si>
  <si>
    <t xml:space="preserve"> CL4 ASPH BASE 1.00D PG76-22</t>
  </si>
  <si>
    <t>00219M</t>
  </si>
  <si>
    <t xml:space="preserve"> CL4 ASPH BASE 25.0D PG76-22</t>
  </si>
  <si>
    <t xml:space="preserve"> CL1 ASPH BASE 0.75D PG64-22</t>
  </si>
  <si>
    <t>00220M</t>
  </si>
  <si>
    <t xml:space="preserve"> CL1 ASPH BASE 19.0D PG64-22</t>
  </si>
  <si>
    <t xml:space="preserve"> CL2 ASPH BASE 0.75D PG64-22</t>
  </si>
  <si>
    <t>00221M</t>
  </si>
  <si>
    <t xml:space="preserve"> CL2 ASPH BASE 19.0D PG64-22</t>
  </si>
  <si>
    <t xml:space="preserve"> CL2 ASPH BASE 0.75D PG70-22</t>
  </si>
  <si>
    <t>00222M</t>
  </si>
  <si>
    <t>Simpson</t>
  </si>
  <si>
    <t>REVIEW OF CULVERT SITUATIONS</t>
  </si>
  <si>
    <t>Culvert Design - Discussion</t>
  </si>
  <si>
    <t>Design Exec. Summary</t>
  </si>
  <si>
    <t>Drainage Location</t>
  </si>
  <si>
    <t>Stream Plan/Profile</t>
  </si>
  <si>
    <t>Road Plan/Profile with Curve Data</t>
  </si>
  <si>
    <t>Typical Sections</t>
  </si>
  <si>
    <t>Structure Profile</t>
  </si>
  <si>
    <t>Drainage Approval</t>
  </si>
  <si>
    <t>Barrel Size</t>
  </si>
  <si>
    <t>Flow Line Elevation at CL</t>
  </si>
  <si>
    <t>Review By</t>
  </si>
  <si>
    <t>Project</t>
  </si>
  <si>
    <t>Left Wing Details</t>
  </si>
  <si>
    <t>Right Wing Details</t>
  </si>
  <si>
    <t>Special Details Left</t>
  </si>
  <si>
    <t>Special Details Right</t>
  </si>
  <si>
    <t>Alternate Structure</t>
  </si>
  <si>
    <t>Comments</t>
  </si>
  <si>
    <t>TC 66-111</t>
  </si>
  <si>
    <t>Rev. 9/05</t>
  </si>
  <si>
    <t xml:space="preserve"> JPC PAVEMENT-325 MM</t>
  </si>
  <si>
    <t xml:space="preserve"> JPC PAVEMENT-13 INCH SHLD</t>
  </si>
  <si>
    <t>02087M</t>
  </si>
  <si>
    <t xml:space="preserve"> JPC PAVEMENT-325 MM SHLD</t>
  </si>
  <si>
    <t xml:space="preserve"> JPC PAVEMENT-14 INCH</t>
  </si>
  <si>
    <t>02088M</t>
  </si>
  <si>
    <t xml:space="preserve"> JPC PAVEMENT-350 MM</t>
  </si>
  <si>
    <t xml:space="preserve"> JPC PAVEMENT-14 INCH SHLD</t>
  </si>
  <si>
    <t>02089M</t>
  </si>
  <si>
    <t xml:space="preserve"> JPC PAVEMENT-350 MM SHLD</t>
  </si>
  <si>
    <t xml:space="preserve"> REMOVE PAVEMENT</t>
  </si>
  <si>
    <t>02091M</t>
  </si>
  <si>
    <t xml:space="preserve"> CEM CONC ENT PAVEMENT-6 INCH</t>
  </si>
  <si>
    <t>02099M</t>
  </si>
  <si>
    <t xml:space="preserve"> CEM CONC ENT PAVEMENT-150 MM</t>
  </si>
  <si>
    <t xml:space="preserve"> CEM CONC ENT PAVEMENT-8 INCH</t>
  </si>
  <si>
    <t>02101M</t>
  </si>
  <si>
    <t xml:space="preserve"> CEM CONC ENT PAVEMENT-200 MM</t>
  </si>
  <si>
    <t xml:space="preserve"> BREAKING AND SEATING PAVEMENT</t>
  </si>
  <si>
    <t>02107M</t>
  </si>
  <si>
    <t xml:space="preserve"> LATEX PCC PAVEMENT PATCHING</t>
  </si>
  <si>
    <t xml:space="preserve"> CUFT</t>
  </si>
  <si>
    <t>02109M</t>
  </si>
  <si>
    <t xml:space="preserve"> PARTIAL DEPTH PATCHING</t>
  </si>
  <si>
    <t>02110M</t>
  </si>
  <si>
    <t xml:space="preserve"> SAW-CLEAN-RESEAL TVERSE JOINT</t>
  </si>
  <si>
    <t>02115M</t>
  </si>
  <si>
    <t xml:space="preserve"> SAW-CLEAN-RESEAL LONGIT JOINT</t>
  </si>
  <si>
    <t>02116M</t>
  </si>
  <si>
    <t xml:space="preserve"> SMOOTH DOWEL</t>
  </si>
  <si>
    <t xml:space="preserve"> DEFORMED TIE BAR</t>
  </si>
  <si>
    <t xml:space="preserve"> PAVED DITCH TYPE 1 MODIFIED</t>
  </si>
  <si>
    <t>02155M</t>
  </si>
  <si>
    <t xml:space="preserve"> PAVED DITCH TYPE 1</t>
  </si>
  <si>
    <t>02157M</t>
  </si>
  <si>
    <t xml:space="preserve"> PAVED DITCH TYPE 2</t>
  </si>
  <si>
    <t>02158M</t>
  </si>
  <si>
    <t xml:space="preserve"> TEMPORARY DITCH</t>
  </si>
  <si>
    <t>02159M</t>
  </si>
  <si>
    <t xml:space="preserve"> PRECAST PC BOX BEAM CB17-48</t>
  </si>
  <si>
    <t>08662M</t>
  </si>
  <si>
    <t xml:space="preserve"> PRECAST PC BOX BEAM CB430</t>
  </si>
  <si>
    <t xml:space="preserve"> PRECAST PC BOX BEAM CB21-48</t>
  </si>
  <si>
    <t>08663M</t>
  </si>
  <si>
    <t xml:space="preserve"> PRECAST PC BOX BEAM CB535</t>
  </si>
  <si>
    <t xml:space="preserve"> PRECAST PC BOX BEAM CB27-48</t>
  </si>
  <si>
    <t>08664M</t>
  </si>
  <si>
    <t xml:space="preserve"> PRECAST PC BOX BEAM CB685</t>
  </si>
  <si>
    <t xml:space="preserve"> PRECAST PC BOX BEAM CB33-48</t>
  </si>
  <si>
    <t>08665M</t>
  </si>
  <si>
    <t xml:space="preserve"> PRECAST PC BOX BEAM CB840</t>
  </si>
  <si>
    <t xml:space="preserve"> PRECAST PC BOX BEAM CB42-48</t>
  </si>
  <si>
    <t>08666M</t>
  </si>
  <si>
    <t xml:space="preserve"> PRECAST PC BOX BEAM CB1065</t>
  </si>
  <si>
    <t xml:space="preserve"> PRECAST PC BOX BEAM SB12</t>
  </si>
  <si>
    <t>08667M</t>
  </si>
  <si>
    <t xml:space="preserve"> PRECAST PC BOX BEAM SB305</t>
  </si>
  <si>
    <t xml:space="preserve"> PRECAST PC BOX BEAM SB17</t>
  </si>
  <si>
    <t>08668M</t>
  </si>
  <si>
    <t xml:space="preserve"> PRECAST PC BOX BEAM SB430</t>
  </si>
  <si>
    <t xml:space="preserve"> PRECAST PC BOX BEAM SB21</t>
  </si>
  <si>
    <t>08669M</t>
  </si>
  <si>
    <t xml:space="preserve"> PRECAST PC BOX BEAM SB535</t>
  </si>
  <si>
    <t xml:space="preserve"> PRECAST PC BOX BEAM SB27</t>
  </si>
  <si>
    <t>08670M</t>
  </si>
  <si>
    <t xml:space="preserve"> PRECAST PC BOX BEAM SB685</t>
  </si>
  <si>
    <t xml:space="preserve"> PRECAST PC BOX BEAM SB33</t>
  </si>
  <si>
    <t>08671M</t>
  </si>
  <si>
    <t xml:space="preserve"> PRECAST PC BOX BEAM SB840</t>
  </si>
  <si>
    <t xml:space="preserve"> STRUCTURE EXCAV-SOLID ROCK</t>
  </si>
  <si>
    <t>08002M</t>
  </si>
  <si>
    <t xml:space="preserve"> FOUNDATION PREPARATION</t>
  </si>
  <si>
    <t xml:space="preserve"> STONE MASONRY VENEER</t>
  </si>
  <si>
    <t>08004M</t>
  </si>
  <si>
    <t xml:space="preserve"> REINF CONC SLOPE WALL-4 INCH</t>
  </si>
  <si>
    <t>08014M</t>
  </si>
  <si>
    <t xml:space="preserve"> REINF CONC SLOPE WALL-100 MM</t>
  </si>
  <si>
    <t xml:space="preserve"> REINF CONC SLOPE WALL-6 INCH</t>
  </si>
  <si>
    <t>08016M</t>
  </si>
  <si>
    <t xml:space="preserve"> REINF CONC SLOPE WALL-150 MM</t>
  </si>
  <si>
    <t xml:space="preserve"> RETAINING WALL</t>
  </si>
  <si>
    <t>08018M</t>
  </si>
  <si>
    <t xml:space="preserve"> CYCLOPEAN STONE RIP RAP</t>
  </si>
  <si>
    <t>08019M</t>
  </si>
  <si>
    <t xml:space="preserve"> CRUSHED AGGREGATE SLOPE PROT</t>
  </si>
  <si>
    <t>08020M</t>
  </si>
  <si>
    <t xml:space="preserve"> RETAINING WALL-REINF EARTH</t>
  </si>
  <si>
    <t>08026M</t>
  </si>
  <si>
    <t xml:space="preserve"> TEST PILES</t>
  </si>
  <si>
    <t>08033M</t>
  </si>
  <si>
    <t xml:space="preserve"> BACKFILL-ABUTMENT</t>
  </si>
  <si>
    <t xml:space="preserve"> COFFERDAM</t>
  </si>
  <si>
    <t xml:space="preserve"> PRE-DRILLING FOR PILES</t>
  </si>
  <si>
    <t>08039M</t>
  </si>
  <si>
    <t xml:space="preserve"> LOADING TESTS</t>
  </si>
  <si>
    <t xml:space="preserve"> PILES-STEEL HP10X42</t>
  </si>
  <si>
    <t>08042M</t>
  </si>
  <si>
    <t xml:space="preserve"> PILES-STEEL HP250x62</t>
  </si>
  <si>
    <t xml:space="preserve"> PILES-STEEL HP12X53</t>
  </si>
  <si>
    <t>08046M</t>
  </si>
  <si>
    <t xml:space="preserve"> PILES-STEEL HP310X79</t>
  </si>
  <si>
    <t xml:space="preserve"> PILES-STEEL HP12X74</t>
  </si>
  <si>
    <t>08048M</t>
  </si>
  <si>
    <t xml:space="preserve"> PILES-STEEL HP305X34</t>
  </si>
  <si>
    <t xml:space="preserve"> PILES-STEEL HP13X73</t>
  </si>
  <si>
    <t>08049M</t>
  </si>
  <si>
    <t xml:space="preserve"> PILES-STEEL HP330X33</t>
  </si>
  <si>
    <t xml:space="preserve"> PILES-STEEL HP14X73</t>
  </si>
  <si>
    <t>08050M</t>
  </si>
  <si>
    <t xml:space="preserve"> PILES-STEEL HP360X108</t>
  </si>
  <si>
    <t xml:space="preserve"> PILES-STEEL HP14X89</t>
  </si>
  <si>
    <t>08051M</t>
  </si>
  <si>
    <t xml:space="preserve"> PILES-STEEL HP360X132</t>
  </si>
  <si>
    <t xml:space="preserve"> PILES-STEEL HP12X53 W/ENCASE</t>
  </si>
  <si>
    <t>08054M</t>
  </si>
  <si>
    <t xml:space="preserve"> PILES-STEEL HP305X24 W/ENCASE</t>
  </si>
  <si>
    <t xml:space="preserve"> PILES-STEEL HP12X53 BIT CTD</t>
  </si>
  <si>
    <t>08055M</t>
  </si>
  <si>
    <t xml:space="preserve"> PILES-STEEL HP305X24 BIT CTD</t>
  </si>
  <si>
    <t xml:space="preserve"> PILES-STEEL HP14X73 W/ENCASE</t>
  </si>
  <si>
    <t>08056M</t>
  </si>
  <si>
    <t>02242M</t>
  </si>
  <si>
    <t xml:space="preserve"> FENCE-TEMPORARY</t>
  </si>
  <si>
    <t>02259M</t>
  </si>
  <si>
    <t xml:space="preserve"> FENCE-WOVEN WIRE</t>
  </si>
  <si>
    <t>02261M</t>
  </si>
  <si>
    <t xml:space="preserve"> FENCE-WOVEN WIRE TYPE 1</t>
  </si>
  <si>
    <t>02262M</t>
  </si>
  <si>
    <t xml:space="preserve"> FENCE-WOVEN WIRE TYPE 2</t>
  </si>
  <si>
    <t>02263M</t>
  </si>
  <si>
    <t xml:space="preserve"> REMOVE FENCE</t>
  </si>
  <si>
    <t>02265M</t>
  </si>
  <si>
    <t xml:space="preserve"> RESET FENCE</t>
  </si>
  <si>
    <t>02266M</t>
  </si>
  <si>
    <t xml:space="preserve"> REMOVE &amp; RESET FENCE</t>
  </si>
  <si>
    <t>02267M</t>
  </si>
  <si>
    <t xml:space="preserve"> REMOVE &amp; REPLACE FENCE</t>
  </si>
  <si>
    <t>02268M</t>
  </si>
  <si>
    <t xml:space="preserve"> FENCE-4 FT CHAIN LINK</t>
  </si>
  <si>
    <t>02273M</t>
  </si>
  <si>
    <t xml:space="preserve"> FENCE-1.2 M CHAIN LINK</t>
  </si>
  <si>
    <t xml:space="preserve"> FENCE-6 FT CHAIN LINK</t>
  </si>
  <si>
    <t>02274M</t>
  </si>
  <si>
    <t xml:space="preserve"> FENCE-1.8 M CHAIN LINK</t>
  </si>
  <si>
    <t xml:space="preserve"> FENCE-8 FT CHAIN LINK</t>
  </si>
  <si>
    <t>02275M</t>
  </si>
  <si>
    <t xml:space="preserve"> FENCE-2.4 M CHAIN LINK</t>
  </si>
  <si>
    <t xml:space="preserve"> PEDESTRIAN GATE-CHAIN LINK</t>
  </si>
  <si>
    <t xml:space="preserve"> PEDESTRIAN WOVEN WIRE GATE</t>
  </si>
  <si>
    <t xml:space="preserve"> SINGLE VEHICULAR CHAIN LINK GATE</t>
  </si>
  <si>
    <t xml:space="preserve"> DOUBLE VEHICULAR CHAIN LINK GATE</t>
  </si>
  <si>
    <t xml:space="preserve"> SINGLE VEHICULAR WOVEN WIRE GATE</t>
  </si>
  <si>
    <t xml:space="preserve"> DOUBLE VEHICULAR WOVEN WIRE GATE</t>
  </si>
  <si>
    <t xml:space="preserve"> WATER GATE TYPE 1</t>
  </si>
  <si>
    <t xml:space="preserve"> ADJUST GUARDRAIL</t>
  </si>
  <si>
    <t>02350M</t>
  </si>
  <si>
    <t xml:space="preserve"> GUARDRAIL-STEEL W BEAM-S FACE</t>
  </si>
  <si>
    <t>02351M</t>
  </si>
  <si>
    <t xml:space="preserve"> GUARDRAIL-STEEL W BEAM-D FACE</t>
  </si>
  <si>
    <t>02352M</t>
  </si>
  <si>
    <t xml:space="preserve"> INSTALL GUARDRAIL-STEEL W BM-S FACE</t>
  </si>
  <si>
    <t>02353M</t>
  </si>
  <si>
    <t>BRIDGE</t>
  </si>
  <si>
    <t>CULVERT</t>
  </si>
  <si>
    <t>Hours</t>
  </si>
  <si>
    <t>Non-</t>
  </si>
  <si>
    <t>%</t>
  </si>
  <si>
    <t>KENTUCKY TRANSPORTATION CABINET</t>
  </si>
  <si>
    <t>TC 66-1</t>
  </si>
  <si>
    <t>DEPARTMENT OF HIGHWAYS</t>
  </si>
  <si>
    <t>COUNTY</t>
  </si>
  <si>
    <t>STATUS REPORT ITEM NO.</t>
  </si>
  <si>
    <t>PROGRAM MANAGEMENT</t>
  </si>
  <si>
    <t>ROAD</t>
  </si>
  <si>
    <t>STATE PROJ. NO.</t>
  </si>
  <si>
    <t>SECTION</t>
  </si>
  <si>
    <t>FEDERAL PROJ. NO.</t>
  </si>
  <si>
    <t>STATION</t>
  </si>
  <si>
    <t>DESCRIPTION OF WORK</t>
  </si>
  <si>
    <t xml:space="preserve">FINAL </t>
  </si>
  <si>
    <t>NO. PLAN</t>
  </si>
  <si>
    <t>DRAWING</t>
  </si>
  <si>
    <t xml:space="preserve"> </t>
  </si>
  <si>
    <t>ESTIMATE</t>
  </si>
  <si>
    <t>PAYROLL</t>
  </si>
  <si>
    <t>SHEETS</t>
  </si>
  <si>
    <t>NUMBER</t>
  </si>
  <si>
    <t>DATE</t>
  </si>
  <si>
    <t>REPORT</t>
  </si>
  <si>
    <t>COMPUTE %</t>
  </si>
  <si>
    <t>COMPUTE</t>
  </si>
  <si>
    <t>TOTAL HRS.</t>
  </si>
  <si>
    <t>OF EFFORT</t>
  </si>
  <si>
    <t>MAN HRS.</t>
  </si>
  <si>
    <t>BUDGET</t>
  </si>
  <si>
    <t>AVERAGE</t>
  </si>
  <si>
    <t>ACCRUED</t>
  </si>
  <si>
    <t>% ENGR.</t>
  </si>
  <si>
    <t xml:space="preserve"> PAVE STRIPING-TEMP PAINT-150MM</t>
  </si>
  <si>
    <t xml:space="preserve"> PAVE STRIPING-TEMP PAINT-8 IN</t>
  </si>
  <si>
    <t>06512M</t>
  </si>
  <si>
    <t xml:space="preserve"> PAVE STRIPING-TEMP PAINT-200MM</t>
  </si>
  <si>
    <t xml:space="preserve"> PAVE STRIPING-TEMP PAINT-12 IN</t>
  </si>
  <si>
    <t>06513M</t>
  </si>
  <si>
    <t xml:space="preserve"> PAVE STRIPING-TEMP PAINT-300MM</t>
  </si>
  <si>
    <t xml:space="preserve"> PAVE STRIPING-PERM PAINT-4 IN</t>
  </si>
  <si>
    <t>06514M</t>
  </si>
  <si>
    <t xml:space="preserve"> PAVE STRIPING-PERM PAINT-100MM</t>
  </si>
  <si>
    <t xml:space="preserve"> PAVE STRIPING-PERM PAINT-6 IN</t>
  </si>
  <si>
    <t>06515M</t>
  </si>
  <si>
    <t xml:space="preserve"> PAVE STRIPING-PERM PAINT-150MM</t>
  </si>
  <si>
    <t xml:space="preserve"> PAVE STRIPING-PERM PAINT-8 IN</t>
  </si>
  <si>
    <t>06516M</t>
  </si>
  <si>
    <t xml:space="preserve"> PAVE STRIPING-PERM PAINT-200MM</t>
  </si>
  <si>
    <t xml:space="preserve"> PAVE STRIPING-PERM PAINT-12 IN</t>
  </si>
  <si>
    <t>06517M</t>
  </si>
  <si>
    <t xml:space="preserve"> PAVE STRIPING-PERM PAINT-300MM</t>
  </si>
  <si>
    <t xml:space="preserve"> PAVE STRIPING-WB PAINT-4 IN W</t>
  </si>
  <si>
    <t>06520M</t>
  </si>
  <si>
    <t xml:space="preserve"> PAVE STRIPING-WB PAINT-100MM W</t>
  </si>
  <si>
    <t xml:space="preserve"> PAVE STRIPING-WB PAINT-4 IN Y</t>
  </si>
  <si>
    <t>06521M</t>
  </si>
  <si>
    <t xml:space="preserve"> PAVE STRIPING-WB PAINT-100MM Y</t>
  </si>
  <si>
    <t xml:space="preserve"> PAVE STRIPING-WB PAINT-6 IN W</t>
  </si>
  <si>
    <t>06522M</t>
  </si>
  <si>
    <t xml:space="preserve"> PAVE STRIPING-WB PAINT-150MM W</t>
  </si>
  <si>
    <t xml:space="preserve"> PAVE STRIPING-WB PAINT-6 IN Y</t>
  </si>
  <si>
    <t>06523M</t>
  </si>
  <si>
    <t xml:space="preserve"> PAVE STRIPING-WB PAINT-150MM Y</t>
  </si>
  <si>
    <t xml:space="preserve"> PAVE STRIPING-WB PAINT-8 IN W</t>
  </si>
  <si>
    <t>06524M</t>
  </si>
  <si>
    <t xml:space="preserve"> PAVE STRIPING-WB PAINT-200MM W</t>
  </si>
  <si>
    <t xml:space="preserve"> PAVE STRIPING-WB PAINT-8 IN Y</t>
  </si>
  <si>
    <t>06525M</t>
  </si>
  <si>
    <t xml:space="preserve"> PAVE STRIPING-WB PAINT-200MM Y</t>
  </si>
  <si>
    <t xml:space="preserve"> PAVE STRIPING-WB PAINT-12 IN W</t>
  </si>
  <si>
    <t>06526M</t>
  </si>
  <si>
    <t xml:space="preserve"> PAVE STRIPING-WB PAINT-300MM W</t>
  </si>
  <si>
    <t xml:space="preserve"> PAVE STRIPING-WB PAINT-12 IN Y</t>
  </si>
  <si>
    <t>06527M</t>
  </si>
  <si>
    <t xml:space="preserve"> PAVE STRIPING-WB PAINT-300MM Y</t>
  </si>
  <si>
    <t xml:space="preserve"> PAVE STRIPING REMOVAL-4 INCH</t>
  </si>
  <si>
    <t>06530M</t>
  </si>
  <si>
    <t xml:space="preserve"> PAVE STRIPING REMOVAL-100 MM</t>
  </si>
  <si>
    <t xml:space="preserve"> PAVE STRIPING REMOVAL-6 INCH</t>
  </si>
  <si>
    <t>06531M</t>
  </si>
  <si>
    <t xml:space="preserve"> PAVE STRIPING REMOVAL-150 MM</t>
  </si>
  <si>
    <t xml:space="preserve"> PAVE STRIPING REMOVAL-8 INCH</t>
  </si>
  <si>
    <t>06532M</t>
  </si>
  <si>
    <t xml:space="preserve"> PAVE STRIPING REMOVAL-200 MM</t>
  </si>
  <si>
    <t xml:space="preserve"> PAVE STRIPING REMOVAL-12 INCH</t>
  </si>
  <si>
    <t>06533M</t>
  </si>
  <si>
    <t xml:space="preserve"> PAVE STRIPING REMOVAL-300 MM</t>
  </si>
  <si>
    <t xml:space="preserve"> PAVE STRIPING-THERMO-4 INCH W</t>
  </si>
  <si>
    <t>06540M</t>
  </si>
  <si>
    <t xml:space="preserve"> PAVE STRIPING-THERMO-100 MM W</t>
  </si>
  <si>
    <t xml:space="preserve"> PAVE STRIPING-THERMO-4 INCH Y</t>
  </si>
  <si>
    <t>06541M</t>
  </si>
  <si>
    <t xml:space="preserve"> PAVE STRIPING-THERMO-100 MM Y</t>
  </si>
  <si>
    <t xml:space="preserve"> PAVE STRIPING-THERMO-6 INCH W</t>
  </si>
  <si>
    <t>06542M</t>
  </si>
  <si>
    <t xml:space="preserve"> PAVE STRIPING-THERMO-150 MM W</t>
  </si>
  <si>
    <t xml:space="preserve"> PAVE STRIPING-THERMO-6 INCH Y</t>
  </si>
  <si>
    <t>Are pile points set up as a bid item?</t>
  </si>
  <si>
    <t>Is the type of pile point to be used specified?</t>
  </si>
  <si>
    <t>Do beam seats need to be sloped for bridge grade?</t>
  </si>
  <si>
    <t>Do all end bents (exp. Ends) rest on standard elastomeric bearing pads (BBP-001)?</t>
  </si>
  <si>
    <t>Is pre-drilling required to get ten feet of pile embedment?</t>
  </si>
  <si>
    <t xml:space="preserve"> Does pier footing require keying into rock?</t>
  </si>
  <si>
    <t>Are all pier column pour lifts limited to 20 ft?</t>
  </si>
  <si>
    <t>Do all pier ends (fixed) rest on plain elastomeric pads (1.25" max thickness) and are they all detailed?</t>
  </si>
  <si>
    <t>01608M</t>
  </si>
  <si>
    <t xml:space="preserve"> CONC MED BARR BOX INLET TY 300B1</t>
  </si>
  <si>
    <t>Do bearings at fixed piers extend under both ends of spans and have no concrete between spans supported on pier cap?</t>
  </si>
  <si>
    <t>Are cable clamps used at piers on PCI beam spans to tie in the beams rather than hooked or bent dowels?</t>
  </si>
  <si>
    <t>Are special reinforcement details included for earthquake design in earthquake zones?</t>
  </si>
  <si>
    <t xml:space="preserve"> PREFABRICATED WICK DRAIN</t>
  </si>
  <si>
    <t>02774M</t>
  </si>
  <si>
    <t xml:space="preserve"> FLASHING ARROW</t>
  </si>
  <si>
    <t xml:space="preserve"> ADJUST TRAFFIC TREADLE</t>
  </si>
  <si>
    <t xml:space="preserve"> METAL MAINTENANCE BUILDING</t>
  </si>
  <si>
    <t xml:space="preserve"> PICNIC TABLE</t>
  </si>
  <si>
    <t xml:space="preserve"> PICNIC GRILL-SWIVEL TYPE</t>
  </si>
  <si>
    <t xml:space="preserve"> PARK BENCH</t>
  </si>
  <si>
    <t xml:space="preserve"> TRASH BASKET-SINGLE</t>
  </si>
  <si>
    <t xml:space="preserve"> TRASH BASKET-DOUBLE</t>
  </si>
  <si>
    <t xml:space="preserve"> CRASH CUSHION TYPE VI A</t>
  </si>
  <si>
    <t xml:space="preserve"> CRASH CUSHION TYPE VI D</t>
  </si>
  <si>
    <t xml:space="preserve"> CRASH CUSHION REPL ELEMENTS</t>
  </si>
  <si>
    <t xml:space="preserve"> CRASH CUSHION TYPE VI-T</t>
  </si>
  <si>
    <t xml:space="preserve"> RELOCATE CRASH CUSHION</t>
  </si>
  <si>
    <t xml:space="preserve"> INSTALL TEMP CRASH CUSHION</t>
  </si>
  <si>
    <t xml:space="preserve"> CRASH CUSHION TYPE VI A-1</t>
  </si>
  <si>
    <t xml:space="preserve"> CRASH CUSHION TYPE VI D-1</t>
  </si>
  <si>
    <t xml:space="preserve"> CRASH CUSHION TYPE IX</t>
  </si>
  <si>
    <t xml:space="preserve"> MASONRY COATING</t>
  </si>
  <si>
    <t>02998M</t>
  </si>
  <si>
    <t xml:space="preserve"> PRECAST CONC BOX SECT 6 X 5</t>
  </si>
  <si>
    <t>03010M</t>
  </si>
  <si>
    <t xml:space="preserve"> PRECAST CONC BOX SECT 1.8X1.5</t>
  </si>
  <si>
    <t xml:space="preserve"> PRECAST CONC BOX SECT 8 X 4</t>
  </si>
  <si>
    <t>03016M</t>
  </si>
  <si>
    <t xml:space="preserve"> PRECAST CONC BOX SECT 2.4X1.2</t>
  </si>
  <si>
    <t xml:space="preserve"> PRECAST CONC BOX SECT 8 X 5</t>
  </si>
  <si>
    <t>03017M</t>
  </si>
  <si>
    <t xml:space="preserve"> PRECAST CONC BOX SECT 2.4X1.5</t>
  </si>
  <si>
    <t xml:space="preserve"> PRECAST CONC BOX SECT 8 X 6</t>
  </si>
  <si>
    <t>03018M</t>
  </si>
  <si>
    <t xml:space="preserve"> PAVE STRIPING-DUR TY 1-12 IN W</t>
  </si>
  <si>
    <t>06560M</t>
  </si>
  <si>
    <t xml:space="preserve"> PAVE STRIPING-DUR TY 1-300MM W</t>
  </si>
  <si>
    <t xml:space="preserve"> PAVE STRIPING-DUR TY 1-12 IN Y</t>
  </si>
  <si>
    <t>06561M</t>
  </si>
  <si>
    <t xml:space="preserve"> PAVE STRIPING-DUR TY 1-300MM Y</t>
  </si>
  <si>
    <t xml:space="preserve"> PAVE MARKING-THERMO R 6 FT</t>
  </si>
  <si>
    <t>06562M</t>
  </si>
  <si>
    <t xml:space="preserve"> PAVE MARKING-THERMO R 1.8M</t>
  </si>
  <si>
    <t xml:space="preserve"> PAVE MARKING-R/R XBUCKS 16 INCH</t>
  </si>
  <si>
    <t>06563M</t>
  </si>
  <si>
    <t xml:space="preserve"> PAVE MARKING-R/R XBUCKS 400 MM</t>
  </si>
  <si>
    <t xml:space="preserve"> PAVE MARKING-THERMO X-WALK-6 INCH</t>
  </si>
  <si>
    <t>06565M</t>
  </si>
  <si>
    <t xml:space="preserve"> PAVE MARKING-THERMO X-WALK-150 MM</t>
  </si>
  <si>
    <t xml:space="preserve"> PAVE MARKING-THERMO X-WALK-12 IN</t>
  </si>
  <si>
    <t>06566M</t>
  </si>
  <si>
    <t xml:space="preserve"> PAVE MARKING-THERMO X-WALK-300 MM</t>
  </si>
  <si>
    <t xml:space="preserve"> PAVE MARKING-THERMO STOP BAR-12IN</t>
  </si>
  <si>
    <t>06567M</t>
  </si>
  <si>
    <t xml:space="preserve"> PAVE MARKING-THERMO STOP BAR-300</t>
  </si>
  <si>
    <t xml:space="preserve"> PAVE MARKING-THERMO STOP BAR-24IN</t>
  </si>
  <si>
    <t>06568M</t>
  </si>
  <si>
    <t xml:space="preserve"> PAVE MARKING-THERMO STOP BAR-600</t>
  </si>
  <si>
    <t xml:space="preserve"> PAVE MARKING-THERMO CROSS-HATCH</t>
  </si>
  <si>
    <t>06569M</t>
  </si>
  <si>
    <t xml:space="preserve"> PAVE MARKING-PAINT CROSS-HATCH</t>
  </si>
  <si>
    <t>06570M</t>
  </si>
  <si>
    <t xml:space="preserve"> PAVE MARKING-PAINT PARKING LOT</t>
  </si>
  <si>
    <t>06571M</t>
  </si>
  <si>
    <t xml:space="preserve"> PAVE MARKING-DOTTED LANE EXTEN</t>
  </si>
  <si>
    <t>06572M</t>
  </si>
  <si>
    <t xml:space="preserve"> GUARDRAIL CONNECTOR TO BRIDGE END TY C</t>
  </si>
  <si>
    <t xml:space="preserve"> GUARDRAIL CONNECTOR TO BRIDGE END TY D</t>
  </si>
  <si>
    <t xml:space="preserve"> REMOVE GUARDRAIL</t>
  </si>
  <si>
    <t>02381M</t>
  </si>
  <si>
    <t xml:space="preserve"> GUARDRAIL CONNECT-SHLD BRIDGE PIER TY A</t>
  </si>
  <si>
    <t xml:space="preserve"> REMOVE &amp; RESET GUARDRAIL</t>
  </si>
  <si>
    <t>02383M</t>
  </si>
  <si>
    <t xml:space="preserve"> GUARDRAIL CONNECTOR TO SHLD BRIDGE PIER TY A-1</t>
  </si>
  <si>
    <t xml:space="preserve"> RELOCATE GUARDRAIL SYSTEM</t>
  </si>
  <si>
    <t>Forward one set of plans to District Office and one set of plans to the Division of Construction.  (Culverts excluded)</t>
  </si>
  <si>
    <t>EXPANSION DAMS</t>
  </si>
  <si>
    <t>CHAIN LINK FENCE</t>
  </si>
  <si>
    <t>DRAIN PIPE</t>
  </si>
  <si>
    <t>GEOTEXTILE FABRIC</t>
  </si>
  <si>
    <t>ADDITIONAL ITEMS</t>
  </si>
  <si>
    <t xml:space="preserve"> PAVE MARKING-PRE THERM STR ARROW</t>
  </si>
  <si>
    <t xml:space="preserve"> PAVE MARKING-PRE THERM CURV ARROW</t>
  </si>
  <si>
    <t xml:space="preserve"> PAVE MARKING-PRE THERM COMB ARROW</t>
  </si>
  <si>
    <t xml:space="preserve"> PAVE MARKING-PREF THERMO ONLY</t>
  </si>
  <si>
    <t xml:space="preserve"> CONC MEDIAN BARRIER TYPE 350A1</t>
  </si>
  <si>
    <t xml:space="preserve"> CONCRETE BARRIER WALL TYPE 9T</t>
  </si>
  <si>
    <t>03171M</t>
  </si>
  <si>
    <t xml:space="preserve"> CONCRETE BARRIER WALL TYPE 230T</t>
  </si>
  <si>
    <t xml:space="preserve"> CONC MEDIAN BARRIER TYPE 14C MOD</t>
  </si>
  <si>
    <t>03202M</t>
  </si>
  <si>
    <t xml:space="preserve"> CONC MEDIAN BARRIER TYPE 350C MOD</t>
  </si>
  <si>
    <t xml:space="preserve"> TUBULAR MARKERS</t>
  </si>
  <si>
    <t xml:space="preserve"> LOW SHOULDER SIGN</t>
  </si>
  <si>
    <t xml:space="preserve"> RAILROAD RAILS-DRILLED</t>
  </si>
  <si>
    <t>03234M</t>
  </si>
  <si>
    <t xml:space="preserve"> EXCAVATION AND BACKFILL</t>
  </si>
  <si>
    <t>03235M</t>
  </si>
  <si>
    <t xml:space="preserve"> CRIBBING</t>
  </si>
  <si>
    <t>03236M</t>
  </si>
  <si>
    <t xml:space="preserve"> BASE FAILURE REPAIR</t>
  </si>
  <si>
    <t>03240M</t>
  </si>
  <si>
    <t xml:space="preserve"> JOINT MILLING</t>
  </si>
  <si>
    <t>03245M</t>
  </si>
  <si>
    <t xml:space="preserve"> RELIEF JOINT-4 INCH</t>
  </si>
  <si>
    <t>03246M</t>
  </si>
  <si>
    <t xml:space="preserve"> RELIEF JOINT-100 MM</t>
  </si>
  <si>
    <t xml:space="preserve"> REPAIR EXISTING BLOWUP</t>
  </si>
  <si>
    <t>03247M</t>
  </si>
  <si>
    <t xml:space="preserve"> ONE STEP MEMBRANE</t>
  </si>
  <si>
    <t>03250M</t>
  </si>
  <si>
    <t xml:space="preserve"> CLEAN ROADWAY DRAINS</t>
  </si>
  <si>
    <t xml:space="preserve"> CLEAN BRIDGE DRAINS</t>
  </si>
  <si>
    <t xml:space="preserve"> CLEAN PIPE STRUCTURE</t>
  </si>
  <si>
    <t xml:space="preserve"> HIGHWAY SWEEPING</t>
  </si>
  <si>
    <t xml:space="preserve"> CYCL</t>
  </si>
  <si>
    <t xml:space="preserve"> CLEANING AND SWEEPING</t>
  </si>
  <si>
    <t>03266M</t>
  </si>
  <si>
    <t xml:space="preserve"> TRIM &amp; REMOVE TREES &amp; BRUSH</t>
  </si>
  <si>
    <t>21373ND</t>
  </si>
  <si>
    <t>21415ND</t>
  </si>
  <si>
    <t>21417ES717</t>
  </si>
  <si>
    <t>PAVE MARK THERMO CONE CAP-SOLID YELLOW</t>
  </si>
  <si>
    <t xml:space="preserve"> CL3 ASPH SURF 0.50B PG70-22</t>
  </si>
  <si>
    <t>00325M</t>
  </si>
  <si>
    <t xml:space="preserve"> CL3 ASPH SURF 12.5B PG70-22</t>
  </si>
  <si>
    <t xml:space="preserve"> CL3 ASPH SURF 0.50B PG76-22</t>
  </si>
  <si>
    <t>00326M</t>
  </si>
  <si>
    <t xml:space="preserve"> CL3 ASPH SURF 12.5B PG76-22</t>
  </si>
  <si>
    <t xml:space="preserve"> CL4 ASPH SURF 0.50B PG64-22</t>
  </si>
  <si>
    <t>00327M</t>
  </si>
  <si>
    <t xml:space="preserve"> CL4 ASPH SURF 12.5B PG64-22</t>
  </si>
  <si>
    <t xml:space="preserve"> CL4 ASPH SURF 0.50B PG70-22</t>
  </si>
  <si>
    <t>00328M</t>
  </si>
  <si>
    <t xml:space="preserve"> CL4 ASPH SURF 12.5B PG70-22</t>
  </si>
  <si>
    <t xml:space="preserve"> CL4 ASPH SURF 0.50B PG76-22</t>
  </si>
  <si>
    <t>00329M</t>
  </si>
  <si>
    <t xml:space="preserve"> CL4 ASPH SURF 12.5B PG76-22</t>
  </si>
  <si>
    <t xml:space="preserve"> CL3 ASPH SURF 0.50A PG64-22</t>
  </si>
  <si>
    <t>00330M</t>
  </si>
  <si>
    <t xml:space="preserve"> CL3 ASPH SURF 12.5A PG64-22</t>
  </si>
  <si>
    <t>ESTIMATED</t>
  </si>
  <si>
    <t>THIS DATE</t>
  </si>
  <si>
    <t>THIS PROJ.</t>
  </si>
  <si>
    <t>HOURLY</t>
  </si>
  <si>
    <t>PERCENT</t>
  </si>
  <si>
    <t>PRICE</t>
  </si>
  <si>
    <t>MC</t>
  </si>
  <si>
    <t>ALL PROJ.</t>
  </si>
  <si>
    <t>BALANCE</t>
  </si>
  <si>
    <t>RATE</t>
  </si>
  <si>
    <t>EXPENDED</t>
  </si>
  <si>
    <t>COMPLETE</t>
  </si>
  <si>
    <t>Engineering</t>
  </si>
  <si>
    <t>Non Engineering</t>
  </si>
  <si>
    <t>TOTALS EXPENDED</t>
  </si>
  <si>
    <t>TC 66-155</t>
  </si>
  <si>
    <t>2.  County</t>
  </si>
  <si>
    <t>3.  Bridge No.</t>
  </si>
  <si>
    <t>date</t>
  </si>
  <si>
    <t>4.  Route No.</t>
  </si>
  <si>
    <t>SPECIAL NOTES &amp; SPECIAL PROVISIONS</t>
  </si>
  <si>
    <t>5. Classification</t>
  </si>
  <si>
    <t>6.  Road Name</t>
  </si>
  <si>
    <t>7.  Crossing</t>
  </si>
  <si>
    <t>8.  Location</t>
  </si>
  <si>
    <t>9.  Station</t>
  </si>
  <si>
    <t>Final Plan Total</t>
  </si>
  <si>
    <t>Final Bid Total</t>
  </si>
  <si>
    <t>COMPARISON of Estimate vs. Final Bid</t>
  </si>
  <si>
    <t>7.  Crossing - Stream name or, Railroad.</t>
  </si>
  <si>
    <t xml:space="preserve">     Grade separations give name of both routes  (Ex. US 127 over I-64)</t>
  </si>
  <si>
    <r>
      <t xml:space="preserve">11.  Total Length - </t>
    </r>
    <r>
      <rPr>
        <sz val="6"/>
        <rFont val="Arial"/>
        <family val="2"/>
      </rPr>
      <t>Back face to back face of parapets or out to out of slab where no parapets.</t>
    </r>
  </si>
  <si>
    <t>Culvert Fill Height</t>
  </si>
  <si>
    <t>Begin</t>
  </si>
  <si>
    <t>End</t>
  </si>
  <si>
    <t>COMPLETED DATE</t>
  </si>
  <si>
    <t>DISTRIBUTION DATE</t>
  </si>
  <si>
    <t>REVISION DATE</t>
  </si>
  <si>
    <t>SPECIAL DRAWINGS</t>
  </si>
  <si>
    <t>y</t>
  </si>
  <si>
    <t>D E S C R I P T I O N  O F  S T R U C T U R E</t>
  </si>
  <si>
    <t>Culvert</t>
  </si>
  <si>
    <t>Total Length</t>
  </si>
  <si>
    <t>No. of Spans</t>
  </si>
  <si>
    <t>No. of Barrels</t>
  </si>
  <si>
    <t>Fabrication</t>
  </si>
  <si>
    <t>Type &amp; Size</t>
  </si>
  <si>
    <t>Depth of Cover</t>
  </si>
  <si>
    <t>Foundation</t>
  </si>
  <si>
    <t>DRAWING NUMBER</t>
  </si>
  <si>
    <t>STATION ON PROJECT ROUTE</t>
  </si>
  <si>
    <t>TOTAL PLAN SHEETS</t>
  </si>
  <si>
    <t>Span Length/s</t>
  </si>
  <si>
    <t>Drawing No.</t>
  </si>
  <si>
    <t>Earth or Rock</t>
  </si>
  <si>
    <t>37.  Filled Out By:</t>
  </si>
  <si>
    <t>37.  Filled out by - Initial of person who filled out form.</t>
  </si>
  <si>
    <t>Q U A N T I T I E S</t>
  </si>
  <si>
    <t>CODE</t>
  </si>
  <si>
    <t>DESCRIPTION</t>
  </si>
  <si>
    <t>10. Skew</t>
  </si>
  <si>
    <t>11. Total Length</t>
  </si>
  <si>
    <t>12.  Rwdy. Width</t>
  </si>
  <si>
    <t>13.  Design Load</t>
  </si>
  <si>
    <t xml:space="preserve"> SAFETY BOX INLET-600 MM SDB-1</t>
  </si>
  <si>
    <t xml:space="preserve"> SAFETY BOX INLET-18 IN DBL SDB-5</t>
  </si>
  <si>
    <t>01728M</t>
  </si>
  <si>
    <t xml:space="preserve"> SAFETY BOX INLET-450MM DBL SDB-5</t>
  </si>
  <si>
    <t xml:space="preserve"> SAFETY BOX INLET-24 IN DBL SDB-5</t>
  </si>
  <si>
    <t>01729M</t>
  </si>
  <si>
    <t xml:space="preserve"> SAFETY BOX INLET-600MM DBL SDB-5</t>
  </si>
  <si>
    <t xml:space="preserve"> CORED HOLE DRAINAGE BOX CON-4 INCH</t>
  </si>
  <si>
    <t>01740M</t>
  </si>
  <si>
    <t xml:space="preserve"> CORED HOLE DRAINAGE BOX CON-100 MM</t>
  </si>
  <si>
    <t xml:space="preserve"> CORED HOLE DRAINAGE BOX CON-6 INCH</t>
  </si>
  <si>
    <t>01741M</t>
  </si>
  <si>
    <t xml:space="preserve"> CORED HOLE DRAINAGE BOX CON-150 MM</t>
  </si>
  <si>
    <t xml:space="preserve"> CORED HOLE DRAINAGE BOX CON-8 INCH</t>
  </si>
  <si>
    <t>01742M</t>
  </si>
  <si>
    <t xml:space="preserve"> CORED HOLE DRAINAGE BOX CON-200 MM</t>
  </si>
  <si>
    <t xml:space="preserve"> MANHOLE TYPE A</t>
  </si>
  <si>
    <t xml:space="preserve"> MANHOLE TYPE A MODIFIED</t>
  </si>
  <si>
    <t xml:space="preserve"> MANHOLE TYPE B</t>
  </si>
  <si>
    <t xml:space="preserve"> MANHOLE TYPE B MODIFIED</t>
  </si>
  <si>
    <t xml:space="preserve"> MANHOLE TYPE C</t>
  </si>
  <si>
    <t xml:space="preserve"> MANHOLE TYPE C MODIFIED</t>
  </si>
  <si>
    <t xml:space="preserve"> MANHOLE TYPE C SPECIAL</t>
  </si>
  <si>
    <t xml:space="preserve"> ELECTRICAL MANHOLE</t>
  </si>
  <si>
    <t xml:space="preserve"> MANHOLE-TRAPPED</t>
  </si>
  <si>
    <t xml:space="preserve"> FILL AND CAP MANHOLE</t>
  </si>
  <si>
    <t xml:space="preserve"> REMOVE MANHOLE</t>
  </si>
  <si>
    <t xml:space="preserve"> RECONSTRUCT MANHOLE</t>
  </si>
  <si>
    <t xml:space="preserve"> ADJUST MANHOLE FRAME TO GRADE</t>
  </si>
  <si>
    <t xml:space="preserve"> ADJUST MANHOLE</t>
  </si>
  <si>
    <t xml:space="preserve"> SANITARY SEWER MANHOLE</t>
  </si>
  <si>
    <t xml:space="preserve"> STANDARD CURB AND GUTTER</t>
  </si>
  <si>
    <t>DIVISION OF STRUCTURAL DESIGN</t>
  </si>
  <si>
    <t>DIVISION OF STRUCTURAL DESIGN, ESTIMATE AND PROJECT SUMMARY -- FINAL</t>
  </si>
  <si>
    <t>Rev. 11/05</t>
  </si>
  <si>
    <t>Identify and date one copy of each item for "Division of Structural Design Files."</t>
  </si>
  <si>
    <t>Receive check prints from District, Railroad, FHWA, and Division of Construction, and transfer any comments to the Division of Structural Design's file copy.</t>
  </si>
  <si>
    <t xml:space="preserve"> STORM SEWER PIPE-54 INCH EQUIV</t>
  </si>
  <si>
    <t>00561M</t>
  </si>
  <si>
    <t xml:space="preserve"> STORM SEWER PIPE-1350 MM EQUIV</t>
  </si>
  <si>
    <t xml:space="preserve"> STORM SEWER PIPE-60 INCH EQUIV</t>
  </si>
  <si>
    <t>00562M</t>
  </si>
  <si>
    <t xml:space="preserve"> STORM SEWER PIPE-1500 MM EQUIV</t>
  </si>
  <si>
    <t xml:space="preserve"> STORM SEWER PIPE-66 INCH EQUIV</t>
  </si>
  <si>
    <t>00563M</t>
  </si>
  <si>
    <t xml:space="preserve"> STORM SEWER PIPE-1650 MM EQUIV</t>
  </si>
  <si>
    <t xml:space="preserve"> STORM SEWER PIPE-72 INCH EQUIV</t>
  </si>
  <si>
    <t>00564M</t>
  </si>
  <si>
    <t xml:space="preserve"> STORM SEWER PIPE-1800 MM EQUIV</t>
  </si>
  <si>
    <t xml:space="preserve"> STORM SEWER PIPE-78 INCH EQUIV</t>
  </si>
  <si>
    <t>00565M</t>
  </si>
  <si>
    <t xml:space="preserve"> STORM SEWER PIPE-1950 MM EQUIV</t>
  </si>
  <si>
    <t xml:space="preserve"> STORM SEWER PIPE-84 INCH EQUIV</t>
  </si>
  <si>
    <t>00566M</t>
  </si>
  <si>
    <t xml:space="preserve"> STORM SEWER PIPE-2100 MM EQUIV</t>
  </si>
  <si>
    <t xml:space="preserve"> STORM SEWER PIPE-90 INCH EQUIV</t>
  </si>
  <si>
    <t>00567M</t>
  </si>
  <si>
    <t xml:space="preserve"> STORM SEWER PIPE-2250 MM EQUIV</t>
  </si>
  <si>
    <t xml:space="preserve"> STORM SEWER PIPE-96 INCH EQUIV</t>
  </si>
  <si>
    <t>00568M</t>
  </si>
  <si>
    <t xml:space="preserve"> STORM SEWER PIPE-2400 MM EQUIV</t>
  </si>
  <si>
    <t xml:space="preserve"> STORM SEWER PIPE-102 IN EQUIV</t>
  </si>
  <si>
    <t>00569M</t>
  </si>
  <si>
    <t xml:space="preserve"> STORM SEWER PIPE-2550 MM EQUIV</t>
  </si>
  <si>
    <t xml:space="preserve"> STORM SEWER PIPE-108 IN EQUIV</t>
  </si>
  <si>
    <t>00570M</t>
  </si>
  <si>
    <t xml:space="preserve"> STORM SEWER PIPE-2700 MM EQUIV</t>
  </si>
  <si>
    <t xml:space="preserve"> STORM SEWER PIPE-114 IN EQUIV</t>
  </si>
  <si>
    <t>00571M</t>
  </si>
  <si>
    <t xml:space="preserve"> STORM SEWER PIPE-2850 MM EQUIV</t>
  </si>
  <si>
    <t xml:space="preserve"> STORM SEWER PIPE-120 IN EQUIV</t>
  </si>
  <si>
    <t>00572M</t>
  </si>
  <si>
    <t xml:space="preserve"> STORM SEWER PIPE-3000 MM EQUIV</t>
  </si>
  <si>
    <t xml:space="preserve"> SLOTTED DRAIN PIPE-12 INCH</t>
  </si>
  <si>
    <t>00980M</t>
  </si>
  <si>
    <t xml:space="preserve"> SLOTTED DRAIN PIPE-300 MM</t>
  </si>
  <si>
    <t xml:space="preserve"> SLOTTED DRAIN PIPE-15 INCH</t>
  </si>
  <si>
    <t>00981M</t>
  </si>
  <si>
    <t>Route Over (Feature Underneath Bridge)</t>
  </si>
  <si>
    <t>Approach Roadway Width w/shoulder</t>
  </si>
  <si>
    <t xml:space="preserve">Bridge Median      </t>
  </si>
  <si>
    <t>ft.</t>
  </si>
  <si>
    <t>INPUT</t>
  </si>
  <si>
    <t>Fill on Culvert</t>
  </si>
  <si>
    <t>Foundation Type</t>
  </si>
  <si>
    <t>FOUNDATION PREPARATION</t>
  </si>
  <si>
    <t>LOW FLOW DIVERSION CURB</t>
  </si>
  <si>
    <t>Crossing Name</t>
  </si>
  <si>
    <t>LF</t>
  </si>
  <si>
    <t>CY</t>
  </si>
  <si>
    <t>LS</t>
  </si>
  <si>
    <t>SY</t>
  </si>
  <si>
    <t>LB</t>
  </si>
  <si>
    <t>SF</t>
  </si>
  <si>
    <t>Bid Codes</t>
  </si>
  <si>
    <t>UNITS</t>
  </si>
  <si>
    <t>Y</t>
  </si>
  <si>
    <t>BDP-002-03</t>
  </si>
  <si>
    <t>Box Beam General Notes &amp; References</t>
  </si>
  <si>
    <t>Total for Additional Items</t>
  </si>
  <si>
    <t>Box Beam Bearing Details</t>
  </si>
  <si>
    <t>BDP-003-03</t>
  </si>
  <si>
    <t xml:space="preserve"> CONC MED BARR BOX INLET TY 12B1-B</t>
  </si>
  <si>
    <t>01609M</t>
  </si>
  <si>
    <t xml:space="preserve"> CONC MED BARR BOX INLET TY 300B1-B</t>
  </si>
  <si>
    <t xml:space="preserve"> CONC MED BARR BOX INLET TY 14A2</t>
  </si>
  <si>
    <t>01614M</t>
  </si>
  <si>
    <t xml:space="preserve"> CONC MED BARR BOX INLET TY 350A2</t>
  </si>
  <si>
    <t xml:space="preserve"> CONC MED BARR BOX INLET TY 14B2</t>
  </si>
  <si>
    <t>01615M</t>
  </si>
  <si>
    <t xml:space="preserve"> CONC MED BARR BOX INLET TY 350B2</t>
  </si>
  <si>
    <t xml:space="preserve"> CONC MED BARR BOX INLET TY 14B1</t>
  </si>
  <si>
    <t>01616M</t>
  </si>
  <si>
    <t xml:space="preserve"> CONC MED BARR BOX INLET TY 350B1</t>
  </si>
  <si>
    <t xml:space="preserve"> CONC MED BARR BOX INLET TY 9A1</t>
  </si>
  <si>
    <t>01619M</t>
  </si>
  <si>
    <t xml:space="preserve"> CONC MED BARR BOX INLET TY 230A1</t>
  </si>
  <si>
    <t xml:space="preserve"> CONC MED BARR BOX INLET TY 9A2</t>
  </si>
  <si>
    <t>01620M</t>
  </si>
  <si>
    <t xml:space="preserve"> CONC MED BARR BOX INLET TY 230A2</t>
  </si>
  <si>
    <t xml:space="preserve"> CONC MED BARR BOX INLET TY 9B1</t>
  </si>
  <si>
    <t>01621M</t>
  </si>
  <si>
    <t xml:space="preserve"> CONC MED BARR BOX INLET TY 230B1</t>
  </si>
  <si>
    <t xml:space="preserve"> CONC MED BARR BOX INLET TY 9B2</t>
  </si>
  <si>
    <t>01622M</t>
  </si>
  <si>
    <t xml:space="preserve"> CONC MED BARR BOX INLET TY 230B2</t>
  </si>
  <si>
    <t xml:space="preserve"> REMOVE MEDIAN BOX INLET</t>
  </si>
  <si>
    <t xml:space="preserve"> RECONSTRUCT MEDIAN BOX INLET</t>
  </si>
  <si>
    <t xml:space="preserve"> CAP CURB BOX INLET</t>
  </si>
  <si>
    <t xml:space="preserve"> JUNCTION BOX-15 INCH</t>
  </si>
  <si>
    <t>01641M</t>
  </si>
  <si>
    <t xml:space="preserve"> JUNCTION BOX-375 MM</t>
  </si>
  <si>
    <t xml:space="preserve"> JUNCTION BOX-18 INCH</t>
  </si>
  <si>
    <t>01642M</t>
  </si>
  <si>
    <t xml:space="preserve"> JUNCTION BOX-450 MM</t>
  </si>
  <si>
    <t xml:space="preserve"> JUNCTION BOX-24 INCH</t>
  </si>
  <si>
    <t>01643M</t>
  </si>
  <si>
    <t>03391M</t>
  </si>
  <si>
    <t xml:space="preserve"> PVC PIPE-300 MM</t>
  </si>
  <si>
    <t xml:space="preserve"> GAS LINE-1 INCH</t>
  </si>
  <si>
    <t>03398M</t>
  </si>
  <si>
    <t xml:space="preserve"> GAS LINE-25 MM</t>
  </si>
  <si>
    <t xml:space="preserve"> GAS LINE-1 1/2 INCH</t>
  </si>
  <si>
    <t>03399M</t>
  </si>
  <si>
    <t xml:space="preserve"> GAS LINE-38 MM</t>
  </si>
  <si>
    <t xml:space="preserve"> GAS LINE-2 INCH</t>
  </si>
  <si>
    <t>03400M</t>
  </si>
  <si>
    <t xml:space="preserve"> GAS LINE-50 MM</t>
  </si>
  <si>
    <t xml:space="preserve"> GAS LINE-4 INCH</t>
  </si>
  <si>
    <t>03404M</t>
  </si>
  <si>
    <t xml:space="preserve"> GAS LINE-100 MM</t>
  </si>
  <si>
    <t xml:space="preserve"> WATER LINE-2 INCH</t>
  </si>
  <si>
    <t>03411M</t>
  </si>
  <si>
    <t xml:space="preserve"> WATER LINE-50 MM</t>
  </si>
  <si>
    <t xml:space="preserve"> WATER LINE INSTALLATION</t>
  </si>
  <si>
    <t>03420M</t>
  </si>
  <si>
    <t xml:space="preserve"> ADJUST WATER LINE</t>
  </si>
  <si>
    <t>03421M</t>
  </si>
  <si>
    <t xml:space="preserve"> RELOCATE WATER LINE</t>
  </si>
  <si>
    <t xml:space="preserve"> REMOVE METER</t>
  </si>
  <si>
    <t xml:space="preserve"> ADJUST WATER VALVE</t>
  </si>
  <si>
    <t xml:space="preserve"> ADJUST FIRE HYDRANT</t>
  </si>
  <si>
    <t xml:space="preserve"> ADJUST WATER METER</t>
  </si>
  <si>
    <t xml:space="preserve"> RELOCATE WATERLINE</t>
  </si>
  <si>
    <t xml:space="preserve"> INSTALL WATER METER</t>
  </si>
  <si>
    <t xml:space="preserve"> RELOCATE WATER METER</t>
  </si>
  <si>
    <t xml:space="preserve"> REMOVE AND RELOCATE METER</t>
  </si>
  <si>
    <t xml:space="preserve"> RELOCATE FIRE HYDRANT</t>
  </si>
  <si>
    <t xml:space="preserve"> REMOVE FIRE HYDRANT</t>
  </si>
  <si>
    <t xml:space="preserve"> METER PIT</t>
  </si>
  <si>
    <t>INSPECT &amp; CERTIFY EDGE DRAIN SYSTEM</t>
  </si>
  <si>
    <t>EACH</t>
  </si>
  <si>
    <t>Has traffic determined if lighting or ice detection is required?</t>
  </si>
  <si>
    <t>Are the unit bid prices current?</t>
  </si>
  <si>
    <t>Does the structure require phased construction?</t>
  </si>
  <si>
    <t>Do the clearances meet navigation permit requirements?</t>
  </si>
  <si>
    <t>Are Federal Aviation Administration or Kentucky Transportation Cabinet Department of Aviation requirements being provided?</t>
  </si>
  <si>
    <t>If gore area falls on bridge, is energy-absorbing system necessary?</t>
  </si>
  <si>
    <t>Have experimental items been cleared with FHWA?</t>
  </si>
  <si>
    <t>SOUNDING SHEET</t>
  </si>
  <si>
    <t>Do the soundings and cores conform to the requested layout?</t>
  </si>
  <si>
    <t>Has the subsurface investigation report been finalized and distributed?</t>
  </si>
  <si>
    <t>LAYOUT SHEET</t>
  </si>
  <si>
    <t>Does the recommended preliminary layout agree geometrically and architecturally with</t>
  </si>
  <si>
    <t>the approved situation survey layout?  If not, explain:</t>
  </si>
  <si>
    <t>Check Layout Sheet using Guidance Manual Article 309.</t>
  </si>
  <si>
    <t>Is this a navigable stream crossing?</t>
  </si>
  <si>
    <t>Have the geotechnical recommendations been followed?</t>
  </si>
  <si>
    <t>Are guardrails attached to end of wings or tapered portion of barrier?</t>
  </si>
  <si>
    <t>If integral end bent is not used, can it be?</t>
  </si>
  <si>
    <t>Is composite design being used?</t>
  </si>
  <si>
    <t xml:space="preserve"> WILDFLOWER SEEDING</t>
  </si>
  <si>
    <t>05981M</t>
  </si>
  <si>
    <t xml:space="preserve"> CHANNEL CHANGE SEEDING</t>
  </si>
  <si>
    <t>05982M</t>
  </si>
  <si>
    <t xml:space="preserve"> SEEDING AND PROTECTION</t>
  </si>
  <si>
    <t>05985M</t>
  </si>
  <si>
    <t xml:space="preserve"> SPECIAL SEEDING CROWN VETCH</t>
  </si>
  <si>
    <t>05989M</t>
  </si>
  <si>
    <t xml:space="preserve"> SODDING</t>
  </si>
  <si>
    <t>05990M</t>
  </si>
  <si>
    <t xml:space="preserve"> AGRICULTURAL LIMESTONE</t>
  </si>
  <si>
    <t>05992M</t>
  </si>
  <si>
    <t xml:space="preserve"> TOPSOIL FURNISHED AND PLACED</t>
  </si>
  <si>
    <t>05997M</t>
  </si>
  <si>
    <t xml:space="preserve"> SPREADING STOCKPILED TOPSOIL</t>
  </si>
  <si>
    <t>05998M</t>
  </si>
  <si>
    <t xml:space="preserve"> OSS GALV STEEL CANTILEVER MOD</t>
  </si>
  <si>
    <t xml:space="preserve"> MODIFY PANEL SIGNS</t>
  </si>
  <si>
    <t xml:space="preserve"> REM SIGN BR ATTACH BRACKETS</t>
  </si>
  <si>
    <t xml:space="preserve"> GMSS GALV STEEL TYPE A</t>
  </si>
  <si>
    <t>06400M</t>
  </si>
  <si>
    <t xml:space="preserve"> GMSS ALUMINUM</t>
  </si>
  <si>
    <t>06402M</t>
  </si>
  <si>
    <t xml:space="preserve"> SBM ALUMINUM PANEL SIGNS</t>
  </si>
  <si>
    <t>06405M</t>
  </si>
  <si>
    <t xml:space="preserve"> SBM ALUM SHEET SIGNS .080 INCH</t>
  </si>
  <si>
    <t>02385M</t>
  </si>
  <si>
    <t xml:space="preserve"> GUARDRAIL CONNECTOR TO BRIDGE END TY A-1</t>
  </si>
  <si>
    <t xml:space="preserve"> GUARDRAIL CONNECT TO BRIDGE END TY E MOD</t>
  </si>
  <si>
    <t xml:space="preserve"> TIMBER GUARD POST</t>
  </si>
  <si>
    <t xml:space="preserve"> GUARDRAIL END TREATMENT TYPE 4A</t>
  </si>
  <si>
    <t xml:space="preserve"> REMOVE GUARD POST</t>
  </si>
  <si>
    <t xml:space="preserve"> REMOVE CONC TERMINAL SECTION</t>
  </si>
  <si>
    <t xml:space="preserve"> REMOVE GUARDRAIL TERMINAL SECT</t>
  </si>
  <si>
    <t xml:space="preserve"> REMOVE GUARDRAIL END TREATMENT</t>
  </si>
  <si>
    <t xml:space="preserve"> TEMPORARY GUARDRAIL</t>
  </si>
  <si>
    <t>02397M</t>
  </si>
  <si>
    <t xml:space="preserve"> SEASONAL MEDIAN BARRICADE</t>
  </si>
  <si>
    <t xml:space="preserve"> EXTRA LENGTH GUARDRAIL POST</t>
  </si>
  <si>
    <t xml:space="preserve"> REMOVE STONE MASONRY</t>
  </si>
  <si>
    <t>02402M</t>
  </si>
  <si>
    <t xml:space="preserve"> REMOVE CONCRETE MASONRY</t>
  </si>
  <si>
    <t>02403M</t>
  </si>
  <si>
    <t xml:space="preserve"> SEPTIC TANK TREATMENT</t>
  </si>
  <si>
    <t xml:space="preserve"> RIGHT-OF-WAY MONUMENT TYPE 1</t>
  </si>
  <si>
    <t xml:space="preserve"> RIGHT-OF-WAY MONUMENT TYPE 1A</t>
  </si>
  <si>
    <t xml:space="preserve"> WITNESS R/W MONUMENT TYPE 2</t>
  </si>
  <si>
    <t xml:space="preserve"> WITNESS POST</t>
  </si>
  <si>
    <t xml:space="preserve"> R/W MARKER RURAL TYPE 1A</t>
  </si>
  <si>
    <t xml:space="preserve"> R/W MARKER RURAL TYPE 1</t>
  </si>
  <si>
    <t xml:space="preserve"> R/W MARKER RURAL TYPE 2</t>
  </si>
  <si>
    <t xml:space="preserve"> R/W MARKER RURAL TYPE 3</t>
  </si>
  <si>
    <t xml:space="preserve"> R/W MARKER MUNICIPAL TYPE 1</t>
  </si>
  <si>
    <t xml:space="preserve"> R/W MARKER MUNICIPAL TYPE 2</t>
  </si>
  <si>
    <t xml:space="preserve"> R/W MARKER MUNICIPAL TYPE 3</t>
  </si>
  <si>
    <t xml:space="preserve"> R/W MARKER MUNICIPAL TYPE 1A</t>
  </si>
  <si>
    <t xml:space="preserve"> REMOVE &amp; RESET R/W MARKER</t>
  </si>
  <si>
    <t xml:space="preserve"> REMOVE TREES OR STUMPS</t>
  </si>
  <si>
    <t xml:space="preserve"> CLEAN SINKHOLE</t>
  </si>
  <si>
    <t xml:space="preserve"> FILL AND CAP SINKHOLE</t>
  </si>
  <si>
    <t>02471M</t>
  </si>
  <si>
    <t xml:space="preserve"> CAP CISTERN</t>
  </si>
  <si>
    <t>02473M</t>
  </si>
  <si>
    <t>STEEL REINFORCEMENT</t>
  </si>
  <si>
    <r>
      <t xml:space="preserve">PILES-STEEL HP14X73 </t>
    </r>
    <r>
      <rPr>
        <b/>
        <u val="single"/>
        <sz val="8"/>
        <color indexed="22"/>
        <rFont val="Arial"/>
        <family val="2"/>
      </rPr>
      <t>or</t>
    </r>
    <r>
      <rPr>
        <sz val="8"/>
        <color indexed="22"/>
        <rFont val="Arial"/>
        <family val="2"/>
      </rPr>
      <t xml:space="preserve"> PILES-PRECAST CONCRETE-14 INCH</t>
    </r>
  </si>
  <si>
    <r>
      <t xml:space="preserve">CYCLOPEAN STONE RIP RAP </t>
    </r>
    <r>
      <rPr>
        <b/>
        <u val="single"/>
        <sz val="8"/>
        <color indexed="22"/>
        <rFont val="Arial"/>
        <family val="2"/>
      </rPr>
      <t>or</t>
    </r>
    <r>
      <rPr>
        <sz val="8"/>
        <color indexed="22"/>
        <rFont val="Arial"/>
        <family val="2"/>
      </rPr>
      <t xml:space="preserve"> CRUSHED AGGREGATE SLOPE PROTECTION</t>
    </r>
  </si>
  <si>
    <r>
      <t xml:space="preserve">CONCRETE-CLASS AA </t>
    </r>
    <r>
      <rPr>
        <b/>
        <u val="single"/>
        <sz val="8"/>
        <color indexed="22"/>
        <rFont val="Arial"/>
        <family val="2"/>
      </rPr>
      <t>or</t>
    </r>
    <r>
      <rPr>
        <sz val="8"/>
        <color indexed="22"/>
        <rFont val="Arial"/>
        <family val="2"/>
      </rPr>
      <t xml:space="preserve"> AAA </t>
    </r>
    <r>
      <rPr>
        <b/>
        <u val="single"/>
        <sz val="8"/>
        <color indexed="22"/>
        <rFont val="Arial"/>
        <family val="2"/>
      </rPr>
      <t>or</t>
    </r>
    <r>
      <rPr>
        <sz val="8"/>
        <color indexed="22"/>
        <rFont val="Arial"/>
        <family val="2"/>
      </rPr>
      <t xml:space="preserve"> AA HPC</t>
    </r>
  </si>
  <si>
    <r>
      <t xml:space="preserve">Concrete Beams (I </t>
    </r>
    <r>
      <rPr>
        <b/>
        <u val="single"/>
        <sz val="8"/>
        <color indexed="22"/>
        <rFont val="Arial"/>
        <family val="2"/>
      </rPr>
      <t>or</t>
    </r>
    <r>
      <rPr>
        <sz val="8"/>
        <color indexed="22"/>
        <rFont val="Arial"/>
        <family val="2"/>
      </rPr>
      <t xml:space="preserve"> B </t>
    </r>
    <r>
      <rPr>
        <b/>
        <u val="single"/>
        <sz val="8"/>
        <color indexed="22"/>
        <rFont val="Arial"/>
        <family val="2"/>
      </rPr>
      <t>or</t>
    </r>
    <r>
      <rPr>
        <sz val="8"/>
        <color indexed="22"/>
        <rFont val="Arial"/>
        <family val="2"/>
      </rPr>
      <t xml:space="preserve"> SB </t>
    </r>
    <r>
      <rPr>
        <b/>
        <u val="single"/>
        <sz val="8"/>
        <color indexed="22"/>
        <rFont val="Arial"/>
        <family val="2"/>
      </rPr>
      <t>or</t>
    </r>
    <r>
      <rPr>
        <sz val="8"/>
        <color indexed="22"/>
        <rFont val="Arial"/>
        <family val="2"/>
      </rPr>
      <t xml:space="preserve"> CB)</t>
    </r>
  </si>
  <si>
    <t>REMOVING CONCRETE MASONRY</t>
  </si>
  <si>
    <t>NOTE</t>
  </si>
  <si>
    <t>Road Name</t>
  </si>
  <si>
    <t>Crossing</t>
  </si>
  <si>
    <t>ROUTE NUMBER</t>
  </si>
  <si>
    <t>ROAD NAME</t>
  </si>
  <si>
    <t>HS25</t>
  </si>
  <si>
    <t>CARD FORM TC-66-154  (BRIDGE)</t>
  </si>
  <si>
    <t>CARD FORM TC-66-154  (CULVERT)</t>
  </si>
  <si>
    <t>ESTIMATE OF QUANTITIES</t>
  </si>
  <si>
    <t>Q</t>
  </si>
  <si>
    <t>$</t>
  </si>
  <si>
    <t>CONCRETE BEAM SUMMARY</t>
  </si>
  <si>
    <t>SUPERSTRUCTURE</t>
  </si>
  <si>
    <t>SUBSTRUCTURE</t>
  </si>
  <si>
    <t xml:space="preserve"> TEMPORARY SILT FENCE</t>
  </si>
  <si>
    <t>02701M</t>
  </si>
  <si>
    <t xml:space="preserve"> SAND FOR BLOTTER</t>
  </si>
  <si>
    <t>02702M</t>
  </si>
  <si>
    <t xml:space="preserve"> SILT TRAP TYPE A</t>
  </si>
  <si>
    <t xml:space="preserve"> SILT TRAP TYPE B</t>
  </si>
  <si>
    <t xml:space="preserve"> SILT CHECK</t>
  </si>
  <si>
    <t xml:space="preserve"> CLEAN SILT TRAP TYPE A</t>
  </si>
  <si>
    <t xml:space="preserve"> CLEAN SILT TRAP TYPE B</t>
  </si>
  <si>
    <t xml:space="preserve"> CLEAN SILT CHECK</t>
  </si>
  <si>
    <t xml:space="preserve"> CLEAN TEMPORARY SILT FENCE</t>
  </si>
  <si>
    <t>02709M</t>
  </si>
  <si>
    <t xml:space="preserve"> STORM SEWER PIPE-66 INCH</t>
  </si>
  <si>
    <t>00533M</t>
  </si>
  <si>
    <t xml:space="preserve"> STORM SEWER PIPE-1650 MM</t>
  </si>
  <si>
    <t xml:space="preserve"> STORM SEWER PIPE-72 INCH</t>
  </si>
  <si>
    <t>00534M</t>
  </si>
  <si>
    <t xml:space="preserve"> STORM SEWER PIPE-1800 MM</t>
  </si>
  <si>
    <t xml:space="preserve"> STORM SEWER PIPE-78 INCH</t>
  </si>
  <si>
    <t>00535M</t>
  </si>
  <si>
    <t>21532ED</t>
  </si>
  <si>
    <t>Height</t>
  </si>
  <si>
    <t>25. State Project No.</t>
  </si>
  <si>
    <t>26. Fed. Const. No.</t>
  </si>
  <si>
    <t>27. Wt. For Painting</t>
  </si>
  <si>
    <t>28. Field Book</t>
  </si>
  <si>
    <t>29. Drawing No.</t>
  </si>
  <si>
    <t>30. Type Drwg.</t>
  </si>
  <si>
    <t>31. Designer</t>
  </si>
  <si>
    <t>Design</t>
  </si>
  <si>
    <t>3.  Bridge no. - (Ex. MP 24-567-8)</t>
  </si>
  <si>
    <t>4.  Route no. - Number of the route which crosses the bridge</t>
  </si>
  <si>
    <t>5.  Classification - By Maintenance Section</t>
  </si>
  <si>
    <t>8.  Location - By Maintenance Section</t>
  </si>
  <si>
    <t>9.  Station - As on design drawings.</t>
  </si>
  <si>
    <t>14. 15. &amp; 16.  Use no. on each individual span giving its length and type.</t>
  </si>
  <si>
    <t>25.  State Project No. - Designer</t>
  </si>
  <si>
    <t>27.  Wt. for Painting - Weight of all structural steel.</t>
  </si>
  <si>
    <t>28.  Field Book - By Maintenace Section</t>
  </si>
  <si>
    <t>30.  Type Drwg. - For Example:  Design, Shop, Repair</t>
  </si>
  <si>
    <t>County</t>
  </si>
  <si>
    <t>N/A</t>
  </si>
  <si>
    <t>STATE PROJECT NO.</t>
  </si>
  <si>
    <t>FEDERAL PROJECT NO.</t>
  </si>
  <si>
    <t>DRAWING NO.</t>
  </si>
  <si>
    <t>CULVERT OPENING</t>
  </si>
  <si>
    <t>SKEW</t>
  </si>
  <si>
    <t>AREA OF OPENING</t>
  </si>
  <si>
    <t>CULVERT LENGTH</t>
  </si>
  <si>
    <t>VOLUME OF OPENING</t>
  </si>
  <si>
    <t>FILL ON CULVERT</t>
  </si>
  <si>
    <t>TOTAL COST</t>
  </si>
  <si>
    <t>FOUNDATION TYPE</t>
  </si>
  <si>
    <t>MASONRY COATING</t>
  </si>
  <si>
    <t>County, Drawing No.</t>
  </si>
  <si>
    <t>Location</t>
  </si>
  <si>
    <t>Lanes on Structure</t>
  </si>
  <si>
    <t>ADT on Structure</t>
  </si>
  <si>
    <t>Year</t>
  </si>
  <si>
    <t>Design Load</t>
  </si>
  <si>
    <t>HS-25</t>
  </si>
  <si>
    <t>Approach Roadway Width w/ shoulder</t>
  </si>
  <si>
    <t>Bridge Median</t>
  </si>
  <si>
    <t>None</t>
  </si>
  <si>
    <t>Open</t>
  </si>
  <si>
    <t xml:space="preserve"> STORM SEWER PIPE-450 MM EQUIV</t>
  </si>
  <si>
    <t xml:space="preserve"> STORM SEWER PIPE-21 INCH EQUIV</t>
  </si>
  <si>
    <t>00553M</t>
  </si>
  <si>
    <t xml:space="preserve"> STORM SEWER PIPE-525 MM EQUIV</t>
  </si>
  <si>
    <t xml:space="preserve"> STORM SEWER PIPE-24 INCH EQUIV</t>
  </si>
  <si>
    <t>00554M</t>
  </si>
  <si>
    <t xml:space="preserve"> STORM SEWER PIPE-600 MM EQUIV</t>
  </si>
  <si>
    <t xml:space="preserve"> STORM SEWER PIPE-30 INCH EQUIV</t>
  </si>
  <si>
    <t>00556M</t>
  </si>
  <si>
    <t xml:space="preserve"> STORM SEWER PIPE-750 MM EQUIV</t>
  </si>
  <si>
    <t xml:space="preserve"> STORM SEWER PIPE-36 INCH EQUIV</t>
  </si>
  <si>
    <t>00558M</t>
  </si>
  <si>
    <t xml:space="preserve"> STORM SEWER PIPE-900 MM EQUIV</t>
  </si>
  <si>
    <t xml:space="preserve"> STORM SEWER PIPE-42 INCH EQUIV</t>
  </si>
  <si>
    <t>00559M</t>
  </si>
  <si>
    <t xml:space="preserve"> STORM SEWER PIPE-1050 MM EQUIV</t>
  </si>
  <si>
    <t xml:space="preserve"> STORM SEWER PIPE-48 INCH EQUIV</t>
  </si>
  <si>
    <t>00560M</t>
  </si>
  <si>
    <t xml:space="preserve"> STORM SEWER PIPE-1200 MM EQUIV</t>
  </si>
  <si>
    <t>B BEAMS</t>
  </si>
  <si>
    <t>CB BEAMS</t>
  </si>
  <si>
    <t>SB BEAMS</t>
  </si>
  <si>
    <t>I BEAMS</t>
  </si>
  <si>
    <t>ROCK</t>
  </si>
  <si>
    <r>
      <t xml:space="preserve">For </t>
    </r>
    <r>
      <rPr>
        <b/>
        <sz val="10"/>
        <rFont val="Arial"/>
        <family val="2"/>
      </rPr>
      <t>quantities</t>
    </r>
    <r>
      <rPr>
        <sz val="10"/>
        <rFont val="Arial"/>
        <family val="0"/>
      </rPr>
      <t xml:space="preserve"> or </t>
    </r>
    <r>
      <rPr>
        <b/>
        <sz val="10"/>
        <rFont val="Arial"/>
        <family val="2"/>
      </rPr>
      <t>codes</t>
    </r>
    <r>
      <rPr>
        <sz val="10"/>
        <rFont val="Arial"/>
        <family val="0"/>
      </rPr>
      <t xml:space="preserve"> not listed, see the BIDS tab within this workbook.  </t>
    </r>
  </si>
  <si>
    <t xml:space="preserve"> REMOVE-REINSTALL FIRE HYDRANT</t>
  </si>
  <si>
    <t xml:space="preserve"> RECONNECT SERVICE</t>
  </si>
  <si>
    <t xml:space="preserve"> RECONNECT TO MAIN</t>
  </si>
  <si>
    <t xml:space="preserve"> FLUSH HYDRANT</t>
  </si>
  <si>
    <t xml:space="preserve"> DUCTILE IRON FITTINGS</t>
  </si>
  <si>
    <t xml:space="preserve"> LB</t>
  </si>
  <si>
    <t>03442M</t>
  </si>
  <si>
    <t xml:space="preserve"> KG</t>
  </si>
  <si>
    <t xml:space="preserve"> CUT CAP &amp; BLOCK</t>
  </si>
  <si>
    <t xml:space="preserve"> RECONNECT SEWER SERVICE</t>
  </si>
  <si>
    <t xml:space="preserve"> TIE-IN TO EXISTING WATER LINE</t>
  </si>
  <si>
    <t xml:space="preserve"> TIE-IN  2 INCH</t>
  </si>
  <si>
    <t>03463M</t>
  </si>
  <si>
    <t xml:space="preserve"> TIE-IN  50 MM</t>
  </si>
  <si>
    <t xml:space="preserve"> TIE-IN  4 INCH</t>
  </si>
  <si>
    <t>03464M</t>
  </si>
  <si>
    <t xml:space="preserve"> TIE-IN  100 MM</t>
  </si>
  <si>
    <t xml:space="preserve"> TIE-IN  6 INCH</t>
  </si>
  <si>
    <t>03466M</t>
  </si>
  <si>
    <t xml:space="preserve"> TIE-IN  150 MM</t>
  </si>
  <si>
    <t xml:space="preserve"> TIE-IN  8 INCH</t>
  </si>
  <si>
    <t>03468M</t>
  </si>
  <si>
    <t xml:space="preserve"> TIE-IN  200 MM</t>
  </si>
  <si>
    <t xml:space="preserve"> TIE-IN  10 INCH</t>
  </si>
  <si>
    <t>03470M</t>
  </si>
  <si>
    <t xml:space="preserve"> TIE-IN  250 MM</t>
  </si>
  <si>
    <t xml:space="preserve"> TIE-IN  12 INCH</t>
  </si>
  <si>
    <t>03472M</t>
  </si>
  <si>
    <t xml:space="preserve"> TIE-IN  300 MM</t>
  </si>
  <si>
    <t xml:space="preserve"> TIE-IN</t>
  </si>
  <si>
    <t xml:space="preserve"> VALVE-1 1/4 INCH</t>
  </si>
  <si>
    <t>03492M</t>
  </si>
  <si>
    <t xml:space="preserve"> VALVE-31.25 MM</t>
  </si>
  <si>
    <t xml:space="preserve"> VALVE-2 INCH</t>
  </si>
  <si>
    <t>03493M</t>
  </si>
  <si>
    <t xml:space="preserve"> VALVE-50 MM</t>
  </si>
  <si>
    <t xml:space="preserve"> VALVE-4 INCH</t>
  </si>
  <si>
    <t>03494M</t>
  </si>
  <si>
    <t xml:space="preserve"> VALVE-100 MM</t>
  </si>
  <si>
    <t xml:space="preserve"> AIR RELEASE VALVE</t>
  </si>
  <si>
    <t xml:space="preserve"> VALVE-6 INCH</t>
  </si>
  <si>
    <t>03496M</t>
  </si>
  <si>
    <t xml:space="preserve"> VALVE-150 MM</t>
  </si>
  <si>
    <t xml:space="preserve"> VALVE-8 INCH</t>
  </si>
  <si>
    <t>03498M</t>
  </si>
  <si>
    <t xml:space="preserve"> VALVE-200 MM</t>
  </si>
  <si>
    <t xml:space="preserve"> VALVE-10 INCH</t>
  </si>
  <si>
    <t>03500M</t>
  </si>
  <si>
    <t xml:space="preserve"> VALVE-250 MM</t>
  </si>
  <si>
    <t xml:space="preserve"> VALVE-12 INCH</t>
  </si>
  <si>
    <t>03502M</t>
  </si>
  <si>
    <t xml:space="preserve"> VALVE-300 MM</t>
  </si>
  <si>
    <t xml:space="preserve"> GATE VALVE-1 1/2 INCH</t>
  </si>
  <si>
    <t>03521M</t>
  </si>
  <si>
    <t xml:space="preserve"> GATE VALVE-38 MM</t>
  </si>
  <si>
    <t xml:space="preserve"> GATE VALVE-2 INCH</t>
  </si>
  <si>
    <t>03522M</t>
  </si>
  <si>
    <t xml:space="preserve"> GATE VALVE-50 MM</t>
  </si>
  <si>
    <t xml:space="preserve"> GATE VALVE-3 INCH</t>
  </si>
  <si>
    <t>03523M</t>
  </si>
  <si>
    <r>
      <t xml:space="preserve">Request consultant to resubmit </t>
    </r>
    <r>
      <rPr>
        <b/>
        <u val="single"/>
        <sz val="10"/>
        <rFont val="Arial"/>
        <family val="2"/>
      </rPr>
      <t>STAGE 2</t>
    </r>
    <r>
      <rPr>
        <sz val="10"/>
        <rFont val="Arial"/>
        <family val="2"/>
      </rPr>
      <t xml:space="preserve"> Preliminary Plans, if necessary.</t>
    </r>
  </si>
  <si>
    <t>TC 66-116</t>
  </si>
  <si>
    <t>Review of Final Plans - Stage 1</t>
  </si>
  <si>
    <t>Item No.</t>
  </si>
  <si>
    <t>SECRETARY TO THE ASSISTANT DIRECTOR</t>
  </si>
  <si>
    <t>Date</t>
  </si>
  <si>
    <t>Initials</t>
  </si>
  <si>
    <t>Verify enclosure of each item listed on transmittal.</t>
  </si>
  <si>
    <t>06406M</t>
  </si>
  <si>
    <t xml:space="preserve"> SBM ALUM SHEET SIGNS 2 MM</t>
  </si>
  <si>
    <t xml:space="preserve"> SBM ALUM SHEET SIGNS .125 INCH</t>
  </si>
  <si>
    <t>06407M</t>
  </si>
  <si>
    <t xml:space="preserve"> SBM ALUM SHEET SIGNS 3 MM</t>
  </si>
  <si>
    <t xml:space="preserve"> SBM GALV STEEL PANEL SIGNS</t>
  </si>
  <si>
    <t>06408M</t>
  </si>
  <si>
    <t xml:space="preserve"> SBM GALV STEEL SHT SIGNS 12 GA</t>
  </si>
  <si>
    <t>06409M</t>
  </si>
  <si>
    <t xml:space="preserve"> STEEL POST TYPE 1</t>
  </si>
  <si>
    <t>06410M</t>
  </si>
  <si>
    <t xml:space="preserve"> STEEL POST TYPE 2</t>
  </si>
  <si>
    <t>06411M</t>
  </si>
  <si>
    <t xml:space="preserve"> STEEL POST MILE MARKERS</t>
  </si>
  <si>
    <t xml:space="preserve"> DELINEATORS-WHITE</t>
  </si>
  <si>
    <t xml:space="preserve"> DELINEATORS-AMBER</t>
  </si>
  <si>
    <t xml:space="preserve"> OSS GALV STEEL CANTILEVER</t>
  </si>
  <si>
    <t xml:space="preserve"> OSS ALUMINUM CANTILEVER</t>
  </si>
  <si>
    <t xml:space="preserve"> FLEXIBLE DELINEATOR POST-W</t>
  </si>
  <si>
    <t>Cost per Linear Foot</t>
  </si>
  <si>
    <t>for PROJECT</t>
  </si>
  <si>
    <t>Approach Slab</t>
  </si>
  <si>
    <t>PAVE MARKING-THERMO X-WALK-12 IN</t>
  </si>
  <si>
    <t>GUARDRAIL-STEEL W BEAM-S FACE BR</t>
  </si>
  <si>
    <t>DOLL</t>
  </si>
  <si>
    <t>10020NS</t>
  </si>
  <si>
    <t>10030NS</t>
  </si>
  <si>
    <t>20071EC</t>
  </si>
  <si>
    <t xml:space="preserve"> NON-PERFORATED PIPE-200 MM</t>
  </si>
  <si>
    <t xml:space="preserve"> NON-PERFORATED PIPE-10 INCH</t>
  </si>
  <si>
    <t>01013M</t>
  </si>
  <si>
    <t xml:space="preserve"> NON-PERFORATED PIPE-250 MM</t>
  </si>
  <si>
    <t xml:space="preserve"> NON-PERFORATED PIPE-12 INCH</t>
  </si>
  <si>
    <t>01014M</t>
  </si>
  <si>
    <t xml:space="preserve"> NON-PERFORATED PIPE-300 MM</t>
  </si>
  <si>
    <t xml:space="preserve"> INSPECT &amp; CERTIFY EDGE DRAIN SYSTEM</t>
  </si>
  <si>
    <t xml:space="preserve"> LS</t>
  </si>
  <si>
    <t xml:space="preserve"> PERF PIPE HEADWALL TY 1-4 INCH</t>
  </si>
  <si>
    <t xml:space="preserve"> EACH</t>
  </si>
  <si>
    <t>01020M</t>
  </si>
  <si>
    <t xml:space="preserve"> PERF PIPE HEADWALL TY 1-100 MM</t>
  </si>
  <si>
    <t xml:space="preserve"> PERF PIPE HEADWALL TY 1-6 INCH</t>
  </si>
  <si>
    <t>01021M</t>
  </si>
  <si>
    <t xml:space="preserve"> PERF PIPE HEADWALL TY 1-150 MM</t>
  </si>
  <si>
    <t xml:space="preserve"> PERF PIPE HEADWALL TY 1-8 INCH</t>
  </si>
  <si>
    <t>01022M</t>
  </si>
  <si>
    <t xml:space="preserve"> PERF PIPE HEADWALL TY 1-200 MM</t>
  </si>
  <si>
    <t xml:space="preserve"> PERF PIPE HEADWALL TY 1-10 IN</t>
  </si>
  <si>
    <t>01023M</t>
  </si>
  <si>
    <t xml:space="preserve"> PERF PIPE HEADWALL TY 1-250 MM</t>
  </si>
  <si>
    <t xml:space="preserve"> PERF PIPE HEADWALL TY 2-4 INCH</t>
  </si>
  <si>
    <t>01024M</t>
  </si>
  <si>
    <t xml:space="preserve"> PERF PIPE HEADWALL TY 2-100 MM</t>
  </si>
  <si>
    <t xml:space="preserve"> PERF PIPE HEADWALL TY 2-6 INCH</t>
  </si>
  <si>
    <t>01025M</t>
  </si>
  <si>
    <t xml:space="preserve"> PERF PIPE HEADWALL TY 2-150 MM</t>
  </si>
  <si>
    <t xml:space="preserve"> PERF PIPE HEADWALL TY 2-8 INCH</t>
  </si>
  <si>
    <t>01026M</t>
  </si>
  <si>
    <t xml:space="preserve"> PERF PIPE HEADWALL TY 2-200 MM</t>
  </si>
  <si>
    <t xml:space="preserve"> PERF PIPE HEADWALL TY 2-10 IN</t>
  </si>
  <si>
    <t>01027M</t>
  </si>
  <si>
    <t>00277M</t>
  </si>
  <si>
    <t xml:space="preserve"> CL4 ASPH BIND 12.5D PG64-22</t>
  </si>
  <si>
    <t xml:space="preserve"> CL4 ASPH BIND 0.50D PG70-22</t>
  </si>
  <si>
    <t>00278M</t>
  </si>
  <si>
    <t xml:space="preserve"> CL4 ASPH BIND 12.5D PG70-22</t>
  </si>
  <si>
    <t xml:space="preserve"> CL4 ASPH BIND 0.50D PG76-22</t>
  </si>
  <si>
    <t>00279M</t>
  </si>
  <si>
    <t xml:space="preserve"> CL4 ASPH BIND 12.5D PG76-22</t>
  </si>
  <si>
    <t xml:space="preserve"> EMULSIFIED ASPHALT RS-2</t>
  </si>
  <si>
    <t>00291M</t>
  </si>
  <si>
    <t xml:space="preserve"> EMULSIFIED ASPHALT SS-1H</t>
  </si>
  <si>
    <t>00293M</t>
  </si>
  <si>
    <t xml:space="preserve"> PRIMER L</t>
  </si>
  <si>
    <t>00296M</t>
  </si>
  <si>
    <t xml:space="preserve"> CL1 ASPH SURF 0.38D PG64-22</t>
  </si>
  <si>
    <t>00300M</t>
  </si>
  <si>
    <t xml:space="preserve"> CL1 ASPH SURF 9.50D PG64-22</t>
  </si>
  <si>
    <t xml:space="preserve"> CL2 ASPH SURF 0.38D PG64-22</t>
  </si>
  <si>
    <t>00301M</t>
  </si>
  <si>
    <t xml:space="preserve"> CL2 ASPH SURF 9.50D PG64-22</t>
  </si>
  <si>
    <t xml:space="preserve"> CL2 ASPH SURF 0.38D PG70-22</t>
  </si>
  <si>
    <t>00302M</t>
  </si>
  <si>
    <t xml:space="preserve"> CL2 ASPH SURF 9.50D PG70-22</t>
  </si>
  <si>
    <t xml:space="preserve"> CL1 ASPH SURF 0.38C PG64-22</t>
  </si>
  <si>
    <t>00303M</t>
  </si>
  <si>
    <t xml:space="preserve"> CL1 ASPH SURF 9.50C PG64-22</t>
  </si>
  <si>
    <t xml:space="preserve"> CL2 ASPH SURF 0.38C PG64-22</t>
  </si>
  <si>
    <t>00304M</t>
  </si>
  <si>
    <t xml:space="preserve"> CL2 ASPH SURF 9.50C PG64-22</t>
  </si>
  <si>
    <t xml:space="preserve"> CL2 ASPH SURF 0.38C PG70-22</t>
  </si>
  <si>
    <t>00305M</t>
  </si>
  <si>
    <t xml:space="preserve"> CL2 ASPH SURF 9.50C PG70-22</t>
  </si>
  <si>
    <t xml:space="preserve"> CL1 ASPH SURF 0.38B PG64-22</t>
  </si>
  <si>
    <t>00306M</t>
  </si>
  <si>
    <t xml:space="preserve"> CL1 ASPH SURF 9.50B PG64-22</t>
  </si>
  <si>
    <t xml:space="preserve"> CL2 ASPH SURF 0.38B PG64-22</t>
  </si>
  <si>
    <t>00307M</t>
  </si>
  <si>
    <t xml:space="preserve"> CL2 ASPH SURF 9.50B PG64-22</t>
  </si>
  <si>
    <t xml:space="preserve"> CL2 ASPH SURF 0.38B PG70-22</t>
  </si>
  <si>
    <t>00308M</t>
  </si>
  <si>
    <t xml:space="preserve"> CL2 ASPH SURF 9.50B PG70-22</t>
  </si>
  <si>
    <t xml:space="preserve"> CL2 ASPH SURF 0.50D PG64-22</t>
  </si>
  <si>
    <t>00309M</t>
  </si>
  <si>
    <t xml:space="preserve"> CL2 ASPH SURF 12.5D PG64-22</t>
  </si>
  <si>
    <t xml:space="preserve"> CL3 ASPH SURF 0.50D PG64-22</t>
  </si>
  <si>
    <t>00312M</t>
  </si>
  <si>
    <t xml:space="preserve"> CL3 ASPH SURF 12.5D PG64-22</t>
  </si>
  <si>
    <t xml:space="preserve"> CL3 ASPH SURF 0.50D PG70-22</t>
  </si>
  <si>
    <t>00313M</t>
  </si>
  <si>
    <t xml:space="preserve"> CL3 ASPH SURF 12.5D PG70-22</t>
  </si>
  <si>
    <t xml:space="preserve"> CL3 ASPH SURF 0.50D PG76-22</t>
  </si>
  <si>
    <t>00314M</t>
  </si>
  <si>
    <t xml:space="preserve"> CL3 ASPH SURF 12.5D PG76-22</t>
  </si>
  <si>
    <t xml:space="preserve"> CL4 ASPH SURF 0.50D PG64-22</t>
  </si>
  <si>
    <t>00315M</t>
  </si>
  <si>
    <t xml:space="preserve"> CL4 ASPH SURF 12.5D PG64-22</t>
  </si>
  <si>
    <t xml:space="preserve"> CL4 ASPH SURF 0.50D PG70-22</t>
  </si>
  <si>
    <t>00316M</t>
  </si>
  <si>
    <t xml:space="preserve"> CL4 ASPH SURF 12.5D PG70-22</t>
  </si>
  <si>
    <t xml:space="preserve"> CL4 ASPH SURF 0.50D PG76-22</t>
  </si>
  <si>
    <t xml:space="preserve"> PILES-STEEL HP356X33 W/ENCASE</t>
  </si>
  <si>
    <t xml:space="preserve"> PILES-PRECAST CONCRETE-14 INCH</t>
  </si>
  <si>
    <t>08060M</t>
  </si>
  <si>
    <t xml:space="preserve"> TEMP SIGNAL MULTI PHASE</t>
  </si>
  <si>
    <t xml:space="preserve"> TEMPORARY SIGNAL</t>
  </si>
  <si>
    <t xml:space="preserve"> MAINTAIN SIGNAL OPERATION</t>
  </si>
  <si>
    <t xml:space="preserve"> REMOVE POLE</t>
  </si>
  <si>
    <t xml:space="preserve"> REMOVE LIGHTING</t>
  </si>
  <si>
    <t xml:space="preserve"> REMOVE POLE BASE</t>
  </si>
  <si>
    <t xml:space="preserve"> REMOVE STORE &amp; REINSTALL POLE</t>
  </si>
  <si>
    <t xml:space="preserve"> REMOVE STORE REINST CONTROL EQ</t>
  </si>
  <si>
    <t xml:space="preserve"> REMOVE SIGNAL EQUIPMENT</t>
  </si>
  <si>
    <t xml:space="preserve"> REMOVE AND REPLACE SIDEWALK</t>
  </si>
  <si>
    <t>04960M</t>
  </si>
  <si>
    <t xml:space="preserve"> EASTERN WHITE PINE</t>
  </si>
  <si>
    <t xml:space="preserve"> SUGAR MAPLE</t>
  </si>
  <si>
    <t xml:space="preserve"> SHADE TREES 6-8 FT HT B&amp;B</t>
  </si>
  <si>
    <t>05598M</t>
  </si>
  <si>
    <t xml:space="preserve"> SHADE TREES 1.8-2.4 M HT B&amp;B</t>
  </si>
  <si>
    <t xml:space="preserve"> SHADE TREE SEEDLING</t>
  </si>
  <si>
    <t xml:space="preserve"> WINTER HONEYSUCKLE</t>
  </si>
  <si>
    <t xml:space="preserve"> EROSION CONTROL BLANKET</t>
  </si>
  <si>
    <t>05950M</t>
  </si>
  <si>
    <t xml:space="preserve"> TEMPORARY MULCH</t>
  </si>
  <si>
    <t>05952M</t>
  </si>
  <si>
    <t xml:space="preserve"> TEMP SEEDING AND PROTECTION</t>
  </si>
  <si>
    <t>05953M</t>
  </si>
  <si>
    <t xml:space="preserve"> CORRECTIVE SEEDING-SEED</t>
  </si>
  <si>
    <t>05956M</t>
  </si>
  <si>
    <t xml:space="preserve"> FERTILIZER 10-20-20</t>
  </si>
  <si>
    <t>05960M</t>
  </si>
  <si>
    <t xml:space="preserve"> TOPDRESSING FERTILIZER</t>
  </si>
  <si>
    <t>05966M</t>
  </si>
  <si>
    <t xml:space="preserve"> CORRECTIVE SEEDING-STRAW</t>
  </si>
  <si>
    <t>05980M</t>
  </si>
  <si>
    <t>Date of Final Bid:</t>
  </si>
  <si>
    <t>Date of Final Estimate:</t>
  </si>
  <si>
    <t>Final Bid:</t>
  </si>
  <si>
    <t>Estimate:</t>
  </si>
  <si>
    <t xml:space="preserve"> DUCTILE IRON PIPE-200 MM</t>
  </si>
  <si>
    <t>08103M</t>
  </si>
  <si>
    <t xml:space="preserve"> CONCRETE-CLASS AA</t>
  </si>
  <si>
    <t>08104M</t>
  </si>
  <si>
    <t xml:space="preserve"> CONCRETE-CLASS AAA</t>
  </si>
  <si>
    <t>08105M</t>
  </si>
  <si>
    <t xml:space="preserve"> CONCRETE-CLASS M 1</t>
  </si>
  <si>
    <t>08106M</t>
  </si>
  <si>
    <t xml:space="preserve"> CONCRETE-CLASS M 2</t>
  </si>
  <si>
    <t>08107M</t>
  </si>
  <si>
    <t xml:space="preserve"> CONCRETE-CLASS A FOUND SEAL</t>
  </si>
  <si>
    <t>08109M</t>
  </si>
  <si>
    <t xml:space="preserve"> DRILLED-IN CAISSONS</t>
  </si>
  <si>
    <t>08121M</t>
  </si>
  <si>
    <t xml:space="preserve"> STEEL REINFORCEMENT</t>
  </si>
  <si>
    <t>08150M</t>
  </si>
  <si>
    <t xml:space="preserve"> STEEL REINF-EPOXY COATED</t>
  </si>
  <si>
    <t>08151M</t>
  </si>
  <si>
    <t xml:space="preserve"> STRUCTURAL STEEL</t>
  </si>
  <si>
    <t xml:space="preserve"> SHEAR CONNECTORS</t>
  </si>
  <si>
    <t xml:space="preserve"> REPLACE BRIDGE RAIL</t>
  </si>
  <si>
    <t>08191M</t>
  </si>
  <si>
    <t xml:space="preserve"> WATERPROOFING - TYPE A</t>
  </si>
  <si>
    <t>08192M</t>
  </si>
  <si>
    <t xml:space="preserve"> HANDRAIL-2 RAIL ALUMINUM</t>
  </si>
  <si>
    <t>08232M</t>
  </si>
  <si>
    <t xml:space="preserve"> HANDRAIL-HIGH STRENGTH</t>
  </si>
  <si>
    <t>08255M</t>
  </si>
  <si>
    <t xml:space="preserve"> JUNCTION BOX-600 MM</t>
  </si>
  <si>
    <t xml:space="preserve"> JUNCTION BOX-30 INCH</t>
  </si>
  <si>
    <t>01644M</t>
  </si>
  <si>
    <t xml:space="preserve"> JUNCTION BOX-750 MM</t>
  </si>
  <si>
    <t xml:space="preserve"> JUNCTION BOX-36 INCH</t>
  </si>
  <si>
    <t>01645M</t>
  </si>
  <si>
    <t xml:space="preserve"> JUNCTION BOX-900 MM</t>
  </si>
  <si>
    <t xml:space="preserve"> JUNCTION BOX-42 INCH</t>
  </si>
  <si>
    <t>01646M</t>
  </si>
  <si>
    <t xml:space="preserve"> JUNCTION BOX-1050 MM</t>
  </si>
  <si>
    <t xml:space="preserve"> JUNCTION BOX-48 INCH</t>
  </si>
  <si>
    <t>01647M</t>
  </si>
  <si>
    <t xml:space="preserve"> JUNCTION BOX-1200 MM</t>
  </si>
  <si>
    <t xml:space="preserve"> JUNCTION BOX-54 INCH</t>
  </si>
  <si>
    <t>01648M</t>
  </si>
  <si>
    <t xml:space="preserve"> JUNCTION BOX-1350 MM</t>
  </si>
  <si>
    <t xml:space="preserve"> JUNCTION BOX-60 INCH</t>
  </si>
  <si>
    <t>01649M</t>
  </si>
  <si>
    <t xml:space="preserve"> JUNCTION BOX-1500 MM</t>
  </si>
  <si>
    <t xml:space="preserve"> JUNCTION BOX</t>
  </si>
  <si>
    <t xml:space="preserve"> JUNCTION BOX-MODIFIED</t>
  </si>
  <si>
    <t xml:space="preserve"> JUNCTION BOX-SPECIAL</t>
  </si>
  <si>
    <t xml:space="preserve"> REMOVE JUNCTION BOX</t>
  </si>
  <si>
    <t xml:space="preserve"> SPRING BOX INLET SPECIAL</t>
  </si>
  <si>
    <t xml:space="preserve"> SPRING BOX INLET TYPE A</t>
  </si>
  <si>
    <t xml:space="preserve"> SPRING BOX INLET TYPE A MOD</t>
  </si>
  <si>
    <t xml:space="preserve"> SPRING BOX INLET TYPE B</t>
  </si>
  <si>
    <t xml:space="preserve"> SPRING BOX INLET TYPE B MOD</t>
  </si>
  <si>
    <t xml:space="preserve"> FLUME INLET TYPE 1 MODIFIED</t>
  </si>
  <si>
    <t xml:space="preserve"> FLUME INLET TYPE 1</t>
  </si>
  <si>
    <t xml:space="preserve"> FLUME INLET TYPE 2</t>
  </si>
  <si>
    <t xml:space="preserve"> REMOVE CURB &amp; GUTTER BOX INLET</t>
  </si>
  <si>
    <t xml:space="preserve"> REMOVE CATCH BASIN</t>
  </si>
  <si>
    <t xml:space="preserve"> RECONSTRUCT CATCH BASIN</t>
  </si>
  <si>
    <t xml:space="preserve"> ADJUST CATCH BASIN</t>
  </si>
  <si>
    <t xml:space="preserve"> FILL AND CAP CATCH BASIN</t>
  </si>
  <si>
    <t xml:space="preserve"> FILL AND CAP WELL</t>
  </si>
  <si>
    <t xml:space="preserve"> REMOVE DITCH BOX INLET</t>
  </si>
  <si>
    <t xml:space="preserve"> FILL AND CAP INLET</t>
  </si>
  <si>
    <t xml:space="preserve"> REMOVE INLET</t>
  </si>
  <si>
    <t xml:space="preserve"> ADJUST INLET</t>
  </si>
  <si>
    <t xml:space="preserve"> RECONSTRUCT INLET</t>
  </si>
  <si>
    <t xml:space="preserve"> SAFETY BOX INLET-18 INCH SDB-1</t>
  </si>
  <si>
    <t>01726M</t>
  </si>
  <si>
    <t xml:space="preserve"> SAFETY BOX INLET-450 MM SDB-1</t>
  </si>
  <si>
    <t xml:space="preserve"> SAFETY BOX INLET-24 INCH SDB-1</t>
  </si>
  <si>
    <t>01727M</t>
  </si>
  <si>
    <t xml:space="preserve"> STORM SEWER PIPE-1950 MM</t>
  </si>
  <si>
    <t xml:space="preserve"> STORM SEWER PIPE-84 INCH</t>
  </si>
  <si>
    <t>00536M</t>
  </si>
  <si>
    <t xml:space="preserve"> STORM SEWER PIPE-2100 MM</t>
  </si>
  <si>
    <t xml:space="preserve"> STORM SEWER PIPE-90 INCH</t>
  </si>
  <si>
    <t>00537M</t>
  </si>
  <si>
    <t xml:space="preserve"> STORM SEWER PIPE-2250 MM</t>
  </si>
  <si>
    <t xml:space="preserve"> STORM SEWER PIPE-96 INCH</t>
  </si>
  <si>
    <t>00538M</t>
  </si>
  <si>
    <t xml:space="preserve"> STORM SEWER PIPE-2400 MM</t>
  </si>
  <si>
    <t xml:space="preserve"> STORM SEWER PIPE-102 INCH</t>
  </si>
  <si>
    <t>00539M</t>
  </si>
  <si>
    <t xml:space="preserve"> STORM SEWER PIPE-2550 MM</t>
  </si>
  <si>
    <t xml:space="preserve"> STORM SEWER PIPE-108 INCH</t>
  </si>
  <si>
    <t>00540M</t>
  </si>
  <si>
    <t xml:space="preserve"> STORM SEWER PIPE-2700 MM</t>
  </si>
  <si>
    <t xml:space="preserve"> STORM SEWER PIPE-114 INCH</t>
  </si>
  <si>
    <t>00541M</t>
  </si>
  <si>
    <t xml:space="preserve"> STORM SEWER PIPE-2850 MM</t>
  </si>
  <si>
    <t xml:space="preserve"> STORM SEWER PIPE-120 INCH</t>
  </si>
  <si>
    <t>00542M</t>
  </si>
  <si>
    <t xml:space="preserve"> STORM SEWER PIPE-3000 MM</t>
  </si>
  <si>
    <t xml:space="preserve"> STORM SEWER PIPE-15 INCH EQUIV</t>
  </si>
  <si>
    <t>00551M</t>
  </si>
  <si>
    <t xml:space="preserve"> STORM SEWER PIPE-375 MM EQUIV</t>
  </si>
  <si>
    <t xml:space="preserve"> STORM SEWER PIPE-18 INCH EQUIV</t>
  </si>
  <si>
    <t>00552M</t>
  </si>
  <si>
    <t xml:space="preserve"> CULVERT PIPE-120 INCH</t>
  </si>
  <si>
    <t>00482M</t>
  </si>
  <si>
    <t xml:space="preserve"> CULVERT PIPE-3000 MM</t>
  </si>
  <si>
    <t xml:space="preserve"> CULVERT PIPE-15 INCH EQUIV</t>
  </si>
  <si>
    <t>00490M</t>
  </si>
  <si>
    <t xml:space="preserve"> CULVERT PIPE-375 MM EQUIV</t>
  </si>
  <si>
    <t xml:space="preserve"> CULVERT PIPE-18 INCH EQUIV</t>
  </si>
  <si>
    <t>00491M</t>
  </si>
  <si>
    <t xml:space="preserve"> CULVERT PIPE-450 MM EQUIV</t>
  </si>
  <si>
    <t xml:space="preserve"> CULVERT PIPE-24 INCH EQUIV</t>
  </si>
  <si>
    <t>00492M</t>
  </si>
  <si>
    <t xml:space="preserve"> CULVERT PIPE-600 MM EQUIV</t>
  </si>
  <si>
    <t xml:space="preserve"> CULVERT PIPE-30 INCH EQUIV</t>
  </si>
  <si>
    <t>00494M</t>
  </si>
  <si>
    <t xml:space="preserve"> CULVERT PIPE-750 MM EQUIV</t>
  </si>
  <si>
    <t xml:space="preserve"> CULVERT PIPE-33 INCH EQUIV</t>
  </si>
  <si>
    <t>00495M</t>
  </si>
  <si>
    <t xml:space="preserve"> CULVERT PIPE-825 MM EQUIV</t>
  </si>
  <si>
    <t xml:space="preserve"> CULVERT PIPE-36 INCH EQUIV</t>
  </si>
  <si>
    <t>00496M</t>
  </si>
  <si>
    <t xml:space="preserve"> CULVERT PIPE-900 MM EQUIV</t>
  </si>
  <si>
    <t xml:space="preserve"> CULVERT PIPE-39 INCH EQUIV</t>
  </si>
  <si>
    <t>00497M</t>
  </si>
  <si>
    <t xml:space="preserve"> CULVERT PIPE-975 MM EQUIV</t>
  </si>
  <si>
    <t xml:space="preserve"> CULVERT PIPE-42 INCH EQUIV</t>
  </si>
  <si>
    <t>00498M</t>
  </si>
  <si>
    <t xml:space="preserve"> CULVERT PIPE-1050 MM EQUIV</t>
  </si>
  <si>
    <t xml:space="preserve"> CULVERT PIPE-48 INCH EQUIV</t>
  </si>
  <si>
    <t>00499M</t>
  </si>
  <si>
    <t xml:space="preserve"> CULVERT PIPE-1200 MM EQUIV</t>
  </si>
  <si>
    <t xml:space="preserve"> CULVERT PIPE-54 INCH EQUIV</t>
  </si>
  <si>
    <t>00500M</t>
  </si>
  <si>
    <t xml:space="preserve"> CULVERT PIPE-1350 MM EQUIV</t>
  </si>
  <si>
    <t xml:space="preserve"> CULVERT PIPE-60 INCH EQUIV</t>
  </si>
  <si>
    <t>00501M</t>
  </si>
  <si>
    <t xml:space="preserve"> CULVERT PIPE-1500 MM EQUIV</t>
  </si>
  <si>
    <t xml:space="preserve"> CULVERT PIPE-66 INCH EQUIV</t>
  </si>
  <si>
    <t>00502M</t>
  </si>
  <si>
    <t xml:space="preserve"> CULVERT PIPE-1650 MM EQUIV</t>
  </si>
  <si>
    <t>Precast PC Box Beam SB21-48</t>
  </si>
  <si>
    <t>Precast PC Box Beam SB27-48</t>
  </si>
  <si>
    <t>Precast PC Box Beam SB33-48</t>
  </si>
  <si>
    <t>Precast PC Box Beam SB42-48</t>
  </si>
  <si>
    <t>Chain Link Fence 7 FT</t>
  </si>
  <si>
    <t>Label for calculation folder (from Guidance Manual, SD-206-2 and Exhibit 218):</t>
  </si>
  <si>
    <t>Calculations for:</t>
  </si>
  <si>
    <t xml:space="preserve"> CULVERT PIPE-1800 MM EQUIV</t>
  </si>
  <si>
    <t>00503M</t>
  </si>
  <si>
    <t xml:space="preserve"> CULVERT PIPE-78 INCH EQUIV</t>
  </si>
  <si>
    <t>00505M</t>
  </si>
  <si>
    <t xml:space="preserve"> CULVERT PIPE-1950 MM EQUIV</t>
  </si>
  <si>
    <t xml:space="preserve"> CULVERT PIPE-84 INCH EQUIV</t>
  </si>
  <si>
    <t>00506M</t>
  </si>
  <si>
    <t xml:space="preserve"> CULVERT PIPE-2100 MM EQUIV</t>
  </si>
  <si>
    <t xml:space="preserve"> CULVERT PIPE-90 INCH EQUIV</t>
  </si>
  <si>
    <t>00507M</t>
  </si>
  <si>
    <t xml:space="preserve"> CULVERT PIPE-2250 MM EQUIV</t>
  </si>
  <si>
    <t xml:space="preserve"> CULVERT PIPE-96 INCH EQUIV</t>
  </si>
  <si>
    <t>00508M</t>
  </si>
  <si>
    <t xml:space="preserve"> CULVERT PIPE-2400 MM EQUIV</t>
  </si>
  <si>
    <t xml:space="preserve"> CULVERT PIPE-102 INCH EQUIV</t>
  </si>
  <si>
    <t>00509M</t>
  </si>
  <si>
    <t xml:space="preserve"> CULVERT PIPE-2550 MM EQUIV</t>
  </si>
  <si>
    <t xml:space="preserve"> CULVERT PIPE-108 INCH EQUIV</t>
  </si>
  <si>
    <t>00510M</t>
  </si>
  <si>
    <t xml:space="preserve"> CULVERT PIPE-2700 MM EQUIV</t>
  </si>
  <si>
    <t xml:space="preserve"> CULVERT PIPE-114 INCH EQUIV</t>
  </si>
  <si>
    <t>00511M</t>
  </si>
  <si>
    <t xml:space="preserve"> CULVERT PIPE-2850 MM EQUIV</t>
  </si>
  <si>
    <t xml:space="preserve"> CULVERT PIPE-120 INCH EQUIV</t>
  </si>
  <si>
    <t>00512M</t>
  </si>
  <si>
    <t xml:space="preserve"> CULVERT PIPE-3000 MM EQUIV</t>
  </si>
  <si>
    <t xml:space="preserve"> METAL END SECTION TY 4-375 MM</t>
  </si>
  <si>
    <t xml:space="preserve"> METAL END SECTION TY 4-18 INCH</t>
  </si>
  <si>
    <t>01411M</t>
  </si>
  <si>
    <t xml:space="preserve"> METAL END SECTION TY 4-450 MM</t>
  </si>
  <si>
    <t xml:space="preserve"> METAL END SECTION TY 4-21 INCH</t>
  </si>
  <si>
    <t>01412M</t>
  </si>
  <si>
    <t xml:space="preserve"> METAL END SECTION TY 4-525 MM</t>
  </si>
  <si>
    <t xml:space="preserve"> METAL END SECTION TY 4-24 INCH</t>
  </si>
  <si>
    <t>01413M</t>
  </si>
  <si>
    <t>Is a permit required from one of the following regulating agencies:</t>
  </si>
  <si>
    <t>U. S. Coast Guard</t>
  </si>
  <si>
    <t>Kentucky Department of Aeronautics</t>
  </si>
  <si>
    <t>TVA</t>
  </si>
  <si>
    <t>Federal Aviation Administration</t>
  </si>
  <si>
    <t>10.</t>
  </si>
  <si>
    <t>Chain Link Fence 4 FT</t>
  </si>
  <si>
    <t>Chain Link Fence 6 FT</t>
  </si>
  <si>
    <t>Chain Link Fence 8 FT</t>
  </si>
  <si>
    <t>Chain Link Fence 9 FT</t>
  </si>
  <si>
    <t>Chain Link Fence 10 FT</t>
  </si>
  <si>
    <t>Drain Pipe 6"</t>
  </si>
  <si>
    <t>Drain Pipe 8"</t>
  </si>
  <si>
    <t>Ton</t>
  </si>
  <si>
    <t>Crushed Aggregate Slope Prot</t>
  </si>
  <si>
    <t>Fabric Geotextile Type 1</t>
  </si>
  <si>
    <t>Fabric Geotextile Type 2</t>
  </si>
  <si>
    <t>Fabric Geotextile Type 3</t>
  </si>
  <si>
    <t>Fabric Geotextile Type 4</t>
  </si>
  <si>
    <t>Reinf Concrete Slope Wall 6"</t>
  </si>
  <si>
    <t>Pile Points   12"</t>
  </si>
  <si>
    <t>Pile Points   14"</t>
  </si>
  <si>
    <t>Expansion Dam   1.5" Neoprene</t>
  </si>
  <si>
    <t>Expansion Dam   2" Neoprene</t>
  </si>
  <si>
    <t>Expansion Dam   2.5" Neoprene</t>
  </si>
  <si>
    <t>Expansion Dam   4" Neoprene</t>
  </si>
  <si>
    <t>Expansion Dam 1.5" Silicone</t>
  </si>
  <si>
    <t>Guardrail-Steel W BM S Face A</t>
  </si>
  <si>
    <t>Guardrail-Steel W BM S Face BR</t>
  </si>
  <si>
    <t>CONCRETE</t>
  </si>
  <si>
    <t>STEEL</t>
  </si>
  <si>
    <t>English
Item #</t>
  </si>
  <si>
    <t>English
Item Description</t>
  </si>
  <si>
    <t>English
Unit</t>
  </si>
  <si>
    <t>Metric
Item #</t>
  </si>
  <si>
    <t>Metric
Item Description</t>
  </si>
  <si>
    <t>Metric
Unit</t>
  </si>
  <si>
    <t xml:space="preserve"> DGA BASE</t>
  </si>
  <si>
    <t xml:space="preserve"> TON</t>
  </si>
  <si>
    <t>00001M</t>
  </si>
  <si>
    <t xml:space="preserve"> MTON</t>
  </si>
  <si>
    <t xml:space="preserve"> DGE BASE-SLAG</t>
  </si>
  <si>
    <t>00002M</t>
  </si>
  <si>
    <t xml:space="preserve"> DGA BASE-SLAG</t>
  </si>
  <si>
    <t xml:space="preserve"> CRUSHED STONE BASE</t>
  </si>
  <si>
    <t>00003M</t>
  </si>
  <si>
    <t xml:space="preserve"> RESHAPE-COMPACT EXIST DGA BASE</t>
  </si>
  <si>
    <t xml:space="preserve"> SQYD</t>
  </si>
  <si>
    <t>00004M</t>
  </si>
  <si>
    <t xml:space="preserve"> SQ M</t>
  </si>
  <si>
    <t xml:space="preserve"> STABILIZED AGGREGATE BASE</t>
  </si>
  <si>
    <t>00007M</t>
  </si>
  <si>
    <t xml:space="preserve"> CEMENT STABILIZED ROADBED</t>
  </si>
  <si>
    <t>00008M</t>
  </si>
  <si>
    <t xml:space="preserve"> LIME STABILIZED ROADBED</t>
  </si>
  <si>
    <t>00013M</t>
  </si>
  <si>
    <t xml:space="preserve"> LIME</t>
  </si>
  <si>
    <t>00014M</t>
  </si>
  <si>
    <t xml:space="preserve"> DRAINAGE BLANKET-TYPE I-UNTR</t>
  </si>
  <si>
    <t>00015M</t>
  </si>
  <si>
    <t xml:space="preserve"> CRUSHED AGGREGATE SIZE NO 7</t>
  </si>
  <si>
    <t>00017M</t>
  </si>
  <si>
    <t xml:space="preserve"> DRAINAGE BLANKET-TYPE II-ASPH</t>
  </si>
  <si>
    <t>00018M</t>
  </si>
  <si>
    <t xml:space="preserve"> DRAINAGE BLANKET-TYPE III-CEM</t>
  </si>
  <si>
    <t>00019M</t>
  </si>
  <si>
    <t xml:space="preserve"> TRAFFIC BOUND BASE</t>
  </si>
  <si>
    <t>00020M</t>
  </si>
  <si>
    <t xml:space="preserve"> DRAINAGE BLANKET-EMBANKMENT</t>
  </si>
  <si>
    <t xml:space="preserve"> CUYD</t>
  </si>
  <si>
    <t>00021M</t>
  </si>
  <si>
    <t xml:space="preserve"> CU M</t>
  </si>
  <si>
    <t xml:space="preserve"> PCC PAVEMENT DRAINAGE BLANKET</t>
  </si>
  <si>
    <t>00022M</t>
  </si>
  <si>
    <t xml:space="preserve"> AGGREGATE FOR SHOULDERS</t>
  </si>
  <si>
    <t>00067M</t>
  </si>
  <si>
    <t xml:space="preserve"> AGGREGATE FOR ENTRANCES</t>
  </si>
  <si>
    <t>00068M</t>
  </si>
  <si>
    <t xml:space="preserve"> CRUSHED AGGREGATE SIZE NO 3</t>
  </si>
  <si>
    <t>00069M</t>
  </si>
  <si>
    <t xml:space="preserve"> CRUSHED AGGREGATE SIZE NO 57</t>
  </si>
  <si>
    <t>00071M</t>
  </si>
  <si>
    <t xml:space="preserve"> CRUSHED LIMESTONE SIZE NO 57</t>
  </si>
  <si>
    <t>00072M</t>
  </si>
  <si>
    <t xml:space="preserve"> AGGREGATE FOR MAILBOX TURNOUTS</t>
  </si>
  <si>
    <t>20550ND</t>
  </si>
  <si>
    <t>20745ED</t>
  </si>
  <si>
    <t>20746ED</t>
  </si>
  <si>
    <t>20758ED</t>
  </si>
  <si>
    <t>20912ND</t>
  </si>
  <si>
    <t>20997ED</t>
  </si>
  <si>
    <t xml:space="preserve"> MOUNTABLE MEDIAN TYPE 7A</t>
  </si>
  <si>
    <t>01950M</t>
  </si>
  <si>
    <t xml:space="preserve"> CONC MEDIAN BARRIER TYPE 12B2</t>
  </si>
  <si>
    <t>01953M</t>
  </si>
  <si>
    <t xml:space="preserve"> CONC MEDIAN BARRIER TYPE 300B2</t>
  </si>
  <si>
    <t xml:space="preserve"> CONC MEDIAN BARRIER TYPE 12C1</t>
  </si>
  <si>
    <t>01955M</t>
  </si>
  <si>
    <t xml:space="preserve"> CONC MEDIAN BARRIER TYPE 300C1</t>
  </si>
  <si>
    <t>D G A Base</t>
  </si>
  <si>
    <t>Structure Granular Backfill</t>
  </si>
  <si>
    <t>Removing Concrete Masonry</t>
  </si>
  <si>
    <t>Masonry Coating</t>
  </si>
  <si>
    <t>Structure Excavation Common</t>
  </si>
  <si>
    <t>Structure Excav Solid Rock</t>
  </si>
  <si>
    <t>Foundation Preparation</t>
  </si>
  <si>
    <t>Retaining Wall</t>
  </si>
  <si>
    <t>Cyclopean Stone Rip Rap</t>
  </si>
  <si>
    <t>Test Piles</t>
  </si>
  <si>
    <t>Piles - Steel HP 14 X 73</t>
  </si>
  <si>
    <t>Piles - Steel HP 12 X 53</t>
  </si>
  <si>
    <t>Piles - Steel HP 14 X 89</t>
  </si>
  <si>
    <t>Piles - Precast Concrete 14"</t>
  </si>
  <si>
    <t>Concrete Class A</t>
  </si>
  <si>
    <t>Concrete Class AA</t>
  </si>
  <si>
    <t>Concrete Class AAA</t>
  </si>
  <si>
    <t>Concrete Class AA HPC</t>
  </si>
  <si>
    <t>Steel Reinforcement</t>
  </si>
  <si>
    <t>Steel Reinforcement Epoxy Coated</t>
  </si>
  <si>
    <t>Structural Steel</t>
  </si>
  <si>
    <t>Shear Connectors</t>
  </si>
  <si>
    <t>Armored Edge for Concrete</t>
  </si>
  <si>
    <t>show skew to Lt or Rt</t>
  </si>
  <si>
    <t>deg, Lt or Rt</t>
  </si>
  <si>
    <t xml:space="preserve"> SCARIFYING AND RESHAPING</t>
  </si>
  <si>
    <t>02710M</t>
  </si>
  <si>
    <t xml:space="preserve"> SEDIMENTATION BASIN</t>
  </si>
  <si>
    <t>02711M</t>
  </si>
  <si>
    <t xml:space="preserve"> CLEAN SEDIMENTATION BASIN</t>
  </si>
  <si>
    <t>02712M</t>
  </si>
  <si>
    <t xml:space="preserve"> BOULDER</t>
  </si>
  <si>
    <t xml:space="preserve"> SHOULDERING</t>
  </si>
  <si>
    <t>02714M</t>
  </si>
  <si>
    <t xml:space="preserve"> SIDEWALK-4 1/2 INCH CONCRETE</t>
  </si>
  <si>
    <t>02719M</t>
  </si>
  <si>
    <t xml:space="preserve"> SIDEWALK-113 MM CONCRETE</t>
  </si>
  <si>
    <t xml:space="preserve"> SIDEWALK-4 INCH CONCRETE</t>
  </si>
  <si>
    <t>02720M</t>
  </si>
  <si>
    <t xml:space="preserve"> SIDEWALK-100 MM CONCRETE</t>
  </si>
  <si>
    <t xml:space="preserve"> REMOVE CONCRETE SIDEWALK</t>
  </si>
  <si>
    <t>02721M</t>
  </si>
  <si>
    <t xml:space="preserve"> SIDEWALK-6 INCH CONCRETE</t>
  </si>
  <si>
    <t>02723M</t>
  </si>
  <si>
    <t xml:space="preserve"> SIDEWALK-150 MM CONCRETE</t>
  </si>
  <si>
    <t xml:space="preserve"> STAKING</t>
  </si>
  <si>
    <t xml:space="preserve"> REMOVE STRUCTURE</t>
  </si>
  <si>
    <t xml:space="preserve"> SURFACE RESTORATION</t>
  </si>
  <si>
    <t>02735M</t>
  </si>
  <si>
    <t xml:space="preserve"> RIFFLE STRUCTURE-DUMPED STONE</t>
  </si>
  <si>
    <t xml:space="preserve"> WOOD DUCK BOX</t>
  </si>
  <si>
    <t xml:space="preserve"> TRAINEE PAYMENT REIMBURSEMENT</t>
  </si>
  <si>
    <t xml:space="preserve"> HOUR</t>
  </si>
  <si>
    <t xml:space="preserve"> INTERIOR FILL FOR CRIBBING</t>
  </si>
  <si>
    <t>02753M</t>
  </si>
  <si>
    <t>08475M</t>
  </si>
  <si>
    <t xml:space="preserve"> EXPANSION DAM-40 MM SILICONE</t>
  </si>
  <si>
    <t xml:space="preserve"> APPROACH SLAB</t>
  </si>
  <si>
    <t>08500M</t>
  </si>
  <si>
    <t xml:space="preserve"> EPOXY SAND SLURRY</t>
  </si>
  <si>
    <t>08504M</t>
  </si>
  <si>
    <t xml:space="preserve"> REM EPOXY BIT FOREIGN OVERLAY</t>
  </si>
  <si>
    <t>08510M</t>
  </si>
  <si>
    <t xml:space="preserve"> CONC CLASS M FULL DEPTH PATCH</t>
  </si>
  <si>
    <t>08526M</t>
  </si>
  <si>
    <t xml:space="preserve"> CONCRETE OVERLAY-LATEX</t>
  </si>
  <si>
    <t>08534M</t>
  </si>
  <si>
    <t xml:space="preserve"> CONC OVERLAY-LOW SLUMP</t>
  </si>
  <si>
    <t>08535M</t>
  </si>
  <si>
    <t xml:space="preserve"> JOINT SEALING</t>
  </si>
  <si>
    <t>08540M</t>
  </si>
  <si>
    <t xml:space="preserve"> BLAST CLEANING</t>
  </si>
  <si>
    <t>08549M</t>
  </si>
  <si>
    <t xml:space="preserve"> HYDRODEMOLITION</t>
  </si>
  <si>
    <t>08550M</t>
  </si>
  <si>
    <t xml:space="preserve"> MACHINE PREP OF SLAB</t>
  </si>
  <si>
    <t>08551M</t>
  </si>
  <si>
    <t xml:space="preserve"> PRECAST PC BOX BEAM B12-36</t>
  </si>
  <si>
    <t>08611M</t>
  </si>
  <si>
    <t xml:space="preserve"> PRECAST PC BOX BEAM B305-914</t>
  </si>
  <si>
    <t xml:space="preserve"> PRECAST PC BOX BEAM B17-36</t>
  </si>
  <si>
    <t>08612M</t>
  </si>
  <si>
    <t>CONCRETE CLASS AA</t>
  </si>
  <si>
    <t>STRUCTURAL GRANULAR BACKFILL</t>
  </si>
  <si>
    <t>GUARDRAIL STEEL W BM S FACE A</t>
  </si>
  <si>
    <t>GUARDRAIL STEEL W BM S FACE BR</t>
  </si>
  <si>
    <t xml:space="preserve"> PRECAST CONC BOX SECT 2.4X1.8</t>
  </si>
  <si>
    <t xml:space="preserve"> PRECAST CONC BOX SECT 10 X 5</t>
  </si>
  <si>
    <t>03026M</t>
  </si>
  <si>
    <t xml:space="preserve"> PRECAST CONC BOX SECT 3.0X1.5</t>
  </si>
  <si>
    <t xml:space="preserve"> PRECAST CONC BOX SECT 12 X 6</t>
  </si>
  <si>
    <t>03038M</t>
  </si>
  <si>
    <t xml:space="preserve"> PRECAST CONC BOX SECT 3.6X1.8</t>
  </si>
  <si>
    <t xml:space="preserve"> CONC MEDIAN BARRIER TYPE 9C1</t>
  </si>
  <si>
    <t>03144M</t>
  </si>
  <si>
    <t xml:space="preserve"> CONC MEDIAN BARRIER TYPE 230C1</t>
  </si>
  <si>
    <t>Special Provision 69 (05) Embankment at Bridge End Bent Structures</t>
  </si>
  <si>
    <t xml:space="preserve"> CL2 ASPH BASE 1.50D PG64-22</t>
  </si>
  <si>
    <t>00203M</t>
  </si>
  <si>
    <t xml:space="preserve"> CL2 ASPH BASE 37.5D PG64-22</t>
  </si>
  <si>
    <t xml:space="preserve"> CL2 ASPH BASE 1.50D PG70-22</t>
  </si>
  <si>
    <t>00204M</t>
  </si>
  <si>
    <t xml:space="preserve"> CL2 ASPH BASE 37.5D PG70-22</t>
  </si>
  <si>
    <t xml:space="preserve"> AGGREGATE FOR SLURRY</t>
  </si>
  <si>
    <t>00199M</t>
  </si>
  <si>
    <t xml:space="preserve"> CR SANDST BASE FOR SHLD-MED</t>
  </si>
  <si>
    <t>00200M</t>
  </si>
  <si>
    <t xml:space="preserve"> CR SANDST BASE PLT MIX CEM TR</t>
  </si>
  <si>
    <t>00201M</t>
  </si>
  <si>
    <t xml:space="preserve"> CL1 ASPH BASE 1.50D PG64-22</t>
  </si>
  <si>
    <t>00202M</t>
  </si>
  <si>
    <t xml:space="preserve"> CL1 ASPH BASE 37.5D PG64-22</t>
  </si>
  <si>
    <t>SUPERSTRUCTURE DETAILS</t>
  </si>
  <si>
    <t>Is electrical conduit recommended by the Division of Traffic?</t>
  </si>
  <si>
    <t>When junction boxes and expansion fittings are used, are three trade names listed with "or approved equal"?</t>
  </si>
  <si>
    <t>Is protective coating to be used?</t>
  </si>
  <si>
    <t>If so, are type and areas where applied noted?</t>
  </si>
  <si>
    <t>Are the fanned bars in the slab staggered?</t>
  </si>
  <si>
    <t>Is the pouring order of the slab made optional?
(unless possible uplift or type of structure makes certain sequences mandatory)</t>
  </si>
  <si>
    <t>Are all cantilever slabs heavied up and with adequate reinforcement?</t>
  </si>
  <si>
    <t>Are all intermediate diaphragms normal to beams?</t>
  </si>
  <si>
    <t>Are drains used?</t>
  </si>
  <si>
    <t>Bridge End Drainage?</t>
  </si>
  <si>
    <t>Is longitudinal joint required in slab (over 60' width)?</t>
  </si>
  <si>
    <t>STEEL DETAILS</t>
  </si>
  <si>
    <t>Are diaphragms and lower lateral connections detailed clear of the girder field splice?</t>
  </si>
  <si>
    <t>Is the following Plate Girder Plan Note shown?</t>
  </si>
  <si>
    <t>All bearing stiffeners and ends of girders shall be vertical and intermediate stiffeners shall be normal to the flange.</t>
  </si>
  <si>
    <t xml:space="preserve"> PAVE MARKING-PREF THERMO SCHOOL</t>
  </si>
  <si>
    <t xml:space="preserve"> INSTALL PAVEMENT MARKER TYPE V</t>
  </si>
  <si>
    <t xml:space="preserve"> PAVEMENT MARKER TYPE IV-MW</t>
  </si>
  <si>
    <t xml:space="preserve"> PAVEMENT MARKER TYPE IV-MY</t>
  </si>
  <si>
    <t xml:space="preserve"> PAVEMENT MARKER TYPE IV-BY</t>
  </si>
  <si>
    <t xml:space="preserve"> PAVEMENT MARKER TYPE IV-B W/R</t>
  </si>
  <si>
    <t xml:space="preserve"> PAVEMENT MARKER TYPE IV-B Y/R</t>
  </si>
  <si>
    <t xml:space="preserve"> PAVEMENT MARKER TY IVA-MW TEMP</t>
  </si>
  <si>
    <t xml:space="preserve"> PAVEMENT MARKER TY IVA-MY TEMP</t>
  </si>
  <si>
    <t xml:space="preserve"> PAVEMENT MARKER TY IVA-BW TEMP</t>
  </si>
  <si>
    <t xml:space="preserve"> PAVEMENT MARKER TY IVA-BY TEMP</t>
  </si>
  <si>
    <t xml:space="preserve"> PAVEMENT MARKER TYPE V-MW</t>
  </si>
  <si>
    <t xml:space="preserve"> PAVEMENT MARKER TYPE V-MY</t>
  </si>
  <si>
    <t xml:space="preserve"> PAVEMENT MARKER TYPE V-BY</t>
  </si>
  <si>
    <t xml:space="preserve"> PAVEMENT MARKER TYPE V-B W/R</t>
  </si>
  <si>
    <t xml:space="preserve"> PAVEMENT MARKER TYPE V-B Y/R</t>
  </si>
  <si>
    <t xml:space="preserve"> PAVEMENT MARKER TYPE VI-MW</t>
  </si>
  <si>
    <t xml:space="preserve"> PAVEMENT MARKER TYPE VI-MY</t>
  </si>
  <si>
    <t xml:space="preserve"> PAVEMENT MARKER TYPE VI-BW</t>
  </si>
  <si>
    <t xml:space="preserve"> PAVEMENT MARKER TYPE VI-BY</t>
  </si>
  <si>
    <t xml:space="preserve"> PAVEMENT MARKING REMOVAL</t>
  </si>
  <si>
    <t>06598M</t>
  </si>
  <si>
    <t xml:space="preserve"> REMOVE PAVEMENT MARKER TYPE V</t>
  </si>
  <si>
    <t xml:space="preserve"> PAVE MARKING-PAINT WORDS</t>
  </si>
  <si>
    <t xml:space="preserve"> PAVE MARKING-PAINT SYMBOL</t>
  </si>
  <si>
    <t xml:space="preserve"> LOWERING DEVICE</t>
  </si>
  <si>
    <t xml:space="preserve"> GROUND ROD</t>
  </si>
  <si>
    <t xml:space="preserve"> FORM LINER</t>
  </si>
  <si>
    <t>07304M</t>
  </si>
  <si>
    <t xml:space="preserve"> DRILLED SHAFT-54"</t>
  </si>
  <si>
    <t xml:space="preserve"> ARCHITECHTURAL TREATMENT</t>
  </si>
  <si>
    <t xml:space="preserve"> DRILLED SHAFT-48"</t>
  </si>
  <si>
    <t xml:space="preserve"> PILES-STEEL (W18X211)</t>
  </si>
  <si>
    <t xml:space="preserve"> PAVED DITCH (MODIFIED)</t>
  </si>
  <si>
    <t xml:space="preserve"> TIMBER LAGGING</t>
  </si>
  <si>
    <t xml:space="preserve"> PRE-DRILLING FOR PILES (SOIL)</t>
  </si>
  <si>
    <t xml:space="preserve"> CONCRETE CLASS AA-HPC</t>
  </si>
  <si>
    <t xml:space="preserve"> MECHANICAL BAR SPLICE #8</t>
  </si>
  <si>
    <t xml:space="preserve"> EXPANSION JOINT ASSEMBLY</t>
  </si>
  <si>
    <t>07440M</t>
  </si>
  <si>
    <t xml:space="preserve"> WALKWAY MODIFICATIONS</t>
  </si>
  <si>
    <t xml:space="preserve"> STAGHORN SUMAC</t>
  </si>
  <si>
    <t xml:space="preserve"> J-HOOK VANE</t>
  </si>
  <si>
    <t xml:space="preserve"> SANITARY MANHOLE SIDEWALL</t>
  </si>
  <si>
    <t xml:space="preserve"> DROP INLET</t>
  </si>
  <si>
    <t>07537M</t>
  </si>
  <si>
    <t xml:space="preserve"> TEE 200MMX150MM</t>
  </si>
  <si>
    <t xml:space="preserve"> WILLOW BUNDLE</t>
  </si>
  <si>
    <t xml:space="preserve"> EXTEND CASING ON 150MM W/L</t>
  </si>
  <si>
    <t xml:space="preserve"> TRENCH WIDTH PAVING-ASPHALT</t>
  </si>
  <si>
    <t xml:space="preserve"> SAFELOAD MANHOLE</t>
  </si>
  <si>
    <t xml:space="preserve"> BY-PASS PUMPING</t>
  </si>
  <si>
    <t xml:space="preserve"> EXTEND CASING ON 300MM STEEL PIPE</t>
  </si>
  <si>
    <t xml:space="preserve"> ABANDON SERVICE LINE</t>
  </si>
  <si>
    <t xml:space="preserve"> TEMP SEWAGE PUMPING</t>
  </si>
  <si>
    <t xml:space="preserve"> GRASS SEEDING</t>
  </si>
  <si>
    <t xml:space="preserve"> CROSS VANE</t>
  </si>
  <si>
    <t xml:space="preserve"> CHANNEL LINING CL IV</t>
  </si>
  <si>
    <t xml:space="preserve"> DEFERRED PAYMENT ADJUSTMENT</t>
  </si>
  <si>
    <t xml:space="preserve"> INSTALL LED SIGNAL-3 SECTION</t>
  </si>
  <si>
    <t xml:space="preserve"> ZONE 1 PLANTING</t>
  </si>
  <si>
    <t xml:space="preserve"> ZONE 2 PLANTING</t>
  </si>
  <si>
    <t>MGAL</t>
  </si>
  <si>
    <t>SQFT</t>
  </si>
  <si>
    <t>HOUR</t>
  </si>
  <si>
    <t>MILE</t>
  </si>
  <si>
    <t>BRIDGE OVERLAY APPROACH PAVEMENT</t>
  </si>
  <si>
    <t>20186ED</t>
  </si>
  <si>
    <t>20257NC</t>
  </si>
  <si>
    <t>20362ES403</t>
  </si>
  <si>
    <t>20411ED</t>
  </si>
  <si>
    <t>20430ED</t>
  </si>
  <si>
    <t>20432ES112</t>
  </si>
  <si>
    <t>20468EC</t>
  </si>
  <si>
    <t xml:space="preserve"> PILES-PRECAST CONCRETE-355 MM</t>
  </si>
  <si>
    <t xml:space="preserve"> PILES-PRECAST CONCRETE-16 INCH</t>
  </si>
  <si>
    <t>08062M</t>
  </si>
  <si>
    <t xml:space="preserve"> PILES-PRECAST CONCRETE-406 MM</t>
  </si>
  <si>
    <t xml:space="preserve"> PILES-PRECAST CONCRETE-18 INCH</t>
  </si>
  <si>
    <t>08064M</t>
  </si>
  <si>
    <t xml:space="preserve"> PILES-PRECAST CONCRETE-457 MM</t>
  </si>
  <si>
    <t xml:space="preserve"> PILES-PRECAST CONCRETE-20 INCH</t>
  </si>
  <si>
    <t>08066M</t>
  </si>
  <si>
    <t xml:space="preserve"> PILES-PRECAST CONCRETE-508 MM</t>
  </si>
  <si>
    <t xml:space="preserve"> PILES-14 INCH</t>
  </si>
  <si>
    <t>08067M</t>
  </si>
  <si>
    <t xml:space="preserve"> PILES-356 MM</t>
  </si>
  <si>
    <t xml:space="preserve"> PILES-16 INCH</t>
  </si>
  <si>
    <t>08068M</t>
  </si>
  <si>
    <t xml:space="preserve"> PILES-406 MM</t>
  </si>
  <si>
    <t xml:space="preserve"> PILES-CIP CONCRETE-14 INCH</t>
  </si>
  <si>
    <t>08072M</t>
  </si>
  <si>
    <t xml:space="preserve"> PILES-CIP CONCRETE-356 MM</t>
  </si>
  <si>
    <t xml:space="preserve"> PILES-PRESTRESSED CONC-10 INCH</t>
  </si>
  <si>
    <t>08080M</t>
  </si>
  <si>
    <t xml:space="preserve"> PILES-PRESTRESSED CONC-254 MM</t>
  </si>
  <si>
    <t xml:space="preserve"> PILES-PRESTRESSED CONC-12 INCH</t>
  </si>
  <si>
    <t>08082M</t>
  </si>
  <si>
    <t xml:space="preserve"> PILES-PRESTRESSED CONC-305 MM</t>
  </si>
  <si>
    <t xml:space="preserve"> PILES-PRESTRESSED CONC-16 INCH</t>
  </si>
  <si>
    <t>08086M</t>
  </si>
  <si>
    <t xml:space="preserve"> PILES-PRESTRESSED CONC-406 MM</t>
  </si>
  <si>
    <t xml:space="preserve"> PILE POINTS-10 INCH</t>
  </si>
  <si>
    <t>08093M</t>
  </si>
  <si>
    <t xml:space="preserve"> PILE POINTS-254 MM</t>
  </si>
  <si>
    <t xml:space="preserve"> PILE POINTS-12 INCH</t>
  </si>
  <si>
    <t>08094M</t>
  </si>
  <si>
    <t xml:space="preserve"> PILE POINTS-310 MM</t>
  </si>
  <si>
    <t xml:space="preserve"> PILE POINTS-14 INCH</t>
  </si>
  <si>
    <t>08095M</t>
  </si>
  <si>
    <t xml:space="preserve"> PILE POINTS-360 MM</t>
  </si>
  <si>
    <t xml:space="preserve"> PILES-PRESTRESSED CONC-14 INCH</t>
  </si>
  <si>
    <t>08096M</t>
  </si>
  <si>
    <t xml:space="preserve"> PILES-PRESTRESSED CONC-356 MM</t>
  </si>
  <si>
    <t xml:space="preserve"> CONCRETE-CLASS A</t>
  </si>
  <si>
    <t>08100M</t>
  </si>
  <si>
    <t xml:space="preserve"> CONCRETE-CLASS D</t>
  </si>
  <si>
    <t>08102M</t>
  </si>
  <si>
    <t xml:space="preserve"> CONCRETE-CLASS D MODIFIED</t>
  </si>
  <si>
    <t>Kentucky's BAMS/DSS Statistical Analysis Models</t>
  </si>
  <si>
    <t>20093NS835</t>
  </si>
  <si>
    <t>20188NS835</t>
  </si>
  <si>
    <t>20206EC</t>
  </si>
  <si>
    <t>20359NN</t>
  </si>
  <si>
    <t>20391NS835</t>
  </si>
  <si>
    <t>20392NS835</t>
  </si>
  <si>
    <t>20419ND</t>
  </si>
  <si>
    <t>21289ED</t>
  </si>
  <si>
    <t>21652EN</t>
  </si>
  <si>
    <t>22664EN</t>
  </si>
  <si>
    <t>22950NN</t>
  </si>
  <si>
    <t>23032EN</t>
  </si>
  <si>
    <t>23140EN</t>
  </si>
  <si>
    <t>DURABLE WATERBORNE MARKING-6 IN W</t>
  </si>
  <si>
    <t>23141EN</t>
  </si>
  <si>
    <t>DURABLE WATERBORNE MARKING-6 IN Y</t>
  </si>
  <si>
    <t>23143ED</t>
  </si>
  <si>
    <t>KPDES PERMIT AND TEMP EROSION CONTROL</t>
  </si>
  <si>
    <t>23148EN</t>
  </si>
  <si>
    <t xml:space="preserve"> ISLAND HEADER CURB TYPE 1</t>
  </si>
  <si>
    <t>01890M</t>
  </si>
  <si>
    <t xml:space="preserve"> ISLAND HEADER CURB TYPE 2</t>
  </si>
  <si>
    <t>01891M</t>
  </si>
  <si>
    <t xml:space="preserve"> VALLEY GUTTER</t>
  </si>
  <si>
    <t>01895M</t>
  </si>
  <si>
    <t xml:space="preserve"> ASPHALT WEDGE CURB</t>
  </si>
  <si>
    <t>01897M</t>
  </si>
  <si>
    <t xml:space="preserve"> REMOVE INTEGRAL CURB</t>
  </si>
  <si>
    <t>01902M</t>
  </si>
  <si>
    <t xml:space="preserve"> REMOVE CONCRETE ROLL CURB</t>
  </si>
  <si>
    <t>01903M</t>
  </si>
  <si>
    <t xml:space="preserve"> REMOVE CURB</t>
  </si>
  <si>
    <t>01904M</t>
  </si>
  <si>
    <t xml:space="preserve"> STANDARD BARRIER MEDIAN TYPE 1</t>
  </si>
  <si>
    <t>01915M</t>
  </si>
  <si>
    <t xml:space="preserve"> STANDARD BARRIER MEDIAN TYPE 1 MOD</t>
  </si>
  <si>
    <t>01916M</t>
  </si>
  <si>
    <t xml:space="preserve"> STANDARD BARRIER MEDIAN TYPE 2</t>
  </si>
  <si>
    <t>01917M</t>
  </si>
  <si>
    <t xml:space="preserve"> STANDARD BARRIER MEDIAN TYPE 3</t>
  </si>
  <si>
    <t>01919M</t>
  </si>
  <si>
    <t xml:space="preserve"> STANDARD BARRIER MEDIAN TYPE 3 MOD</t>
  </si>
  <si>
    <t>01920M</t>
  </si>
  <si>
    <t xml:space="preserve"> STANDARD BARRIER MEDIAN TYPE 4</t>
  </si>
  <si>
    <t>01921M</t>
  </si>
  <si>
    <t xml:space="preserve"> STANDARD BARRIER MEDIAN TYPE 4 MOD</t>
  </si>
  <si>
    <t>01922M</t>
  </si>
  <si>
    <t xml:space="preserve"> STANDARD BARRIER MEDIAN TYPE 5</t>
  </si>
  <si>
    <t>01923M</t>
  </si>
  <si>
    <t xml:space="preserve"> MOUNTABLE MEDIAN TYPE 1</t>
  </si>
  <si>
    <t>01935M</t>
  </si>
  <si>
    <t xml:space="preserve"> MOUNTABLE MEDIAN TYPE 1 MOD</t>
  </si>
  <si>
    <t>01936M</t>
  </si>
  <si>
    <t xml:space="preserve"> MOUNTABLE MEDIAN TYPE 2</t>
  </si>
  <si>
    <t>01937M</t>
  </si>
  <si>
    <t xml:space="preserve"> MOUNTABLE MEDIAN TYPE 3</t>
  </si>
  <si>
    <t>01939M</t>
  </si>
  <si>
    <t xml:space="preserve"> MOUNTABLE MEDIAN TYPE 3 MOD</t>
  </si>
  <si>
    <t>01940M</t>
  </si>
  <si>
    <t xml:space="preserve"> MOUNTABLE MEDIAN TYPE 4</t>
  </si>
  <si>
    <t>01941M</t>
  </si>
  <si>
    <t xml:space="preserve"> MOUNTABLE MEDIAN TYPE 5</t>
  </si>
  <si>
    <t>01943M</t>
  </si>
  <si>
    <t xml:space="preserve"> MOUNTABLE MEDIAN TYPE 1A</t>
  </si>
  <si>
    <t>01945M</t>
  </si>
  <si>
    <t xml:space="preserve"> MOUNTABLE MEDIAN TYPE 2A</t>
  </si>
  <si>
    <t>01946M</t>
  </si>
  <si>
    <t xml:space="preserve"> MOUNTABLE MEDIAN TYPE 3A</t>
  </si>
  <si>
    <t>01947M</t>
  </si>
  <si>
    <t xml:space="preserve"> MOUNTABLE MEDIAN TYPE 6A</t>
  </si>
  <si>
    <t>01949M</t>
  </si>
  <si>
    <t xml:space="preserve"> SLOPED BOX OUTLET TY 1-450 MM</t>
  </si>
  <si>
    <t xml:space="preserve"> SLOPED BOX OUTLET TYPE 1-24 IN</t>
  </si>
  <si>
    <t>01434M</t>
  </si>
  <si>
    <t xml:space="preserve"> SLOPED BOX OUTLET TY 1-600 MM</t>
  </si>
  <si>
    <t xml:space="preserve"> SLOPED BOX INLET-OUTLET TYPE 1</t>
  </si>
  <si>
    <t xml:space="preserve"> SLOPED BOX INLET-OUTLET TYPE 2</t>
  </si>
  <si>
    <t xml:space="preserve"> S &amp; F BOX INLET-OUTLET-18 INCH</t>
  </si>
  <si>
    <t>01450M</t>
  </si>
  <si>
    <t xml:space="preserve"> S &amp; F BOX INLET-OUTLET-450 MM</t>
  </si>
  <si>
    <t xml:space="preserve"> S &amp; F BOX INLET-OUTLET-24 INCH</t>
  </si>
  <si>
    <t>01451M</t>
  </si>
  <si>
    <t xml:space="preserve"> S &amp; F BOX INLET-OUTLET-600 MM</t>
  </si>
  <si>
    <t xml:space="preserve"> S &amp; F BOX INLET-OUTLET-30 INCH</t>
  </si>
  <si>
    <t>01452M</t>
  </si>
  <si>
    <t xml:space="preserve"> S &amp; F BOX INLET-OUTLET-750 MM</t>
  </si>
  <si>
    <t xml:space="preserve"> S &amp; F BOX INLET-OUTLET-36 INCH</t>
  </si>
  <si>
    <t>01453M</t>
  </si>
  <si>
    <t xml:space="preserve"> S &amp; F BOX INLET-OUTLET-900 MM</t>
  </si>
  <si>
    <t xml:space="preserve"> CURB BOX INLET TYPE A TRAPPED</t>
  </si>
  <si>
    <t xml:space="preserve"> CURB BOX INLET TYPE A</t>
  </si>
  <si>
    <t xml:space="preserve"> CURB BOX INLET TYPE A  B</t>
  </si>
  <si>
    <t xml:space="preserve"> CURB BOX INLET TYPE A  T</t>
  </si>
  <si>
    <t xml:space="preserve"> CURB BOX INLET TYPE A MODIFIED</t>
  </si>
  <si>
    <t xml:space="preserve"> CURB BOX INLET TYPE A T-2</t>
  </si>
  <si>
    <t xml:space="preserve"> CURB BOX INLET TYPE B</t>
  </si>
  <si>
    <t xml:space="preserve"> CURB BOX INLET TYPE B TRAPPED</t>
  </si>
  <si>
    <t xml:space="preserve"> CURB BOX INLET TYPE B-B</t>
  </si>
  <si>
    <t xml:space="preserve"> CURB BOX INLET TYPE B-T</t>
  </si>
  <si>
    <t xml:space="preserve"> CURB BOX INLET TYPE F</t>
  </si>
  <si>
    <t xml:space="preserve"> DROP BOX INLET TYPE 1</t>
  </si>
  <si>
    <t xml:space="preserve"> DROP BOX INLET TYPE 2</t>
  </si>
  <si>
    <t xml:space="preserve"> DROP BOX INLET TYPE 2 MODIFIED</t>
  </si>
  <si>
    <t xml:space="preserve"> DROP BOX INLET TYPE 3</t>
  </si>
  <si>
    <t xml:space="preserve"> DROP BOX INLET TYPE 3 MODIFIED</t>
  </si>
  <si>
    <t xml:space="preserve"> DROP BOX INLET TYPE 3 TRAPPED</t>
  </si>
  <si>
    <t xml:space="preserve"> DROP BOX INLET TYPE 4</t>
  </si>
  <si>
    <t xml:space="preserve"> DROP BOX INLET TYPE 4 MODIFIED</t>
  </si>
  <si>
    <t xml:space="preserve"> DROP BOX INLET TYPE 5A</t>
  </si>
  <si>
    <t xml:space="preserve"> DROP BOX INLET TYPE 5A MOD</t>
  </si>
  <si>
    <t xml:space="preserve"> DROP BOX INLET TYPE 5B</t>
  </si>
  <si>
    <t xml:space="preserve"> DROP BOX INLET TYPE 5B MOD</t>
  </si>
  <si>
    <t xml:space="preserve"> DROP BOX INLET TYPE 5C</t>
  </si>
  <si>
    <t xml:space="preserve"> DROP BOX INLET TYPE 5D</t>
  </si>
  <si>
    <t xml:space="preserve"> DROP BOX INLET TYPE 5E</t>
  </si>
  <si>
    <t xml:space="preserve"> DROP BOX INLET TYPE 5F</t>
  </si>
  <si>
    <t xml:space="preserve"> DROP BOX INLET TYPE 5F MOD</t>
  </si>
  <si>
    <t xml:space="preserve"> DROP BOX INLET TYPE 6A</t>
  </si>
  <si>
    <t xml:space="preserve"> DROP BOX INLET TYPE 6B</t>
  </si>
  <si>
    <t xml:space="preserve"> DROP BOX INLET TYPE 6C</t>
  </si>
  <si>
    <t xml:space="preserve"> DROP BOX INLET TYPE 6D</t>
  </si>
  <si>
    <t xml:space="preserve"> DROP BOX INLET TYPE 6D TRAPPED</t>
  </si>
  <si>
    <t xml:space="preserve"> DROP BOX INLET TYPE 6F</t>
  </si>
  <si>
    <t xml:space="preserve"> DROP BOX INLET TYPE 7</t>
  </si>
  <si>
    <t xml:space="preserve"> DROP BOX INLET TYPE 10</t>
  </si>
  <si>
    <t xml:space="preserve"> DROP BOX INLET TYPE 10 MOD</t>
  </si>
  <si>
    <t xml:space="preserve"> DROP BOX INLET TYPE 10 TRAPPED</t>
  </si>
  <si>
    <t xml:space="preserve"> DROP BOX INLET TYPE 11</t>
  </si>
  <si>
    <t>Barge Impact Analysis (per pier)</t>
  </si>
  <si>
    <t>Seismic Analysis</t>
  </si>
  <si>
    <t>Superstructures</t>
  </si>
  <si>
    <t>Composite PPCDU Slab Details</t>
  </si>
  <si>
    <t>Spread Box Beam Details &amp; Framing Plan</t>
  </si>
  <si>
    <t>PCI Beam Details &amp; Framing Plan</t>
  </si>
  <si>
    <t>Slab Details</t>
  </si>
  <si>
    <t>Construction Elevations</t>
  </si>
  <si>
    <t>Steel Plate Girders</t>
  </si>
  <si>
    <t>Flared Spans</t>
  </si>
  <si>
    <t>Miscellaneous Plan Sheet Hours</t>
  </si>
  <si>
    <t>Title Sheet</t>
  </si>
  <si>
    <t xml:space="preserve"> FLEXIBLE DELINEATOR POST-Y</t>
  </si>
  <si>
    <t xml:space="preserve"> OSS ALUMINUM 55 FT TRUSS</t>
  </si>
  <si>
    <t>06420M</t>
  </si>
  <si>
    <t xml:space="preserve"> OSS ALUMINUM 16.8 M TRUSS</t>
  </si>
  <si>
    <t xml:space="preserve"> OSS ALUMINUM 60 FT TRUSS</t>
  </si>
  <si>
    <t>06422M</t>
  </si>
  <si>
    <t xml:space="preserve"> OSS ALUMINUM 18.3 M TRUSS</t>
  </si>
  <si>
    <t xml:space="preserve"> OSS ALUMINUM 65 FT TRUSS</t>
  </si>
  <si>
    <t>06424M</t>
  </si>
  <si>
    <t xml:space="preserve"> OSS ALUMINUM 19.8 M TRUSS</t>
  </si>
  <si>
    <t xml:space="preserve"> OSS ALUMINUM 70 FT TRUSS</t>
  </si>
  <si>
    <t>06426M</t>
  </si>
  <si>
    <t xml:space="preserve"> OSS ALUMINUM 21.3 M TRUSS</t>
  </si>
  <si>
    <t xml:space="preserve"> TRENCHING</t>
  </si>
  <si>
    <t>06427M</t>
  </si>
  <si>
    <t xml:space="preserve"> OSS ALUMINUM 75 FT TRUSS</t>
  </si>
  <si>
    <t>06436M</t>
  </si>
  <si>
    <t xml:space="preserve"> OSS ALUMINUM 22.9 M TRUSS</t>
  </si>
  <si>
    <t xml:space="preserve"> OSS ALUMINUM 80 FT TRUSS</t>
  </si>
  <si>
    <t>06438M</t>
  </si>
  <si>
    <t xml:space="preserve"> OSS ALUMINUM 24.4 M TRUSS</t>
  </si>
  <si>
    <t xml:space="preserve"> GMSS GALV STEEL TYPE B</t>
  </si>
  <si>
    <t>06440M</t>
  </si>
  <si>
    <t xml:space="preserve"> OSS ALUMINUM 85 FT TRUSS</t>
  </si>
  <si>
    <t>06443M</t>
  </si>
  <si>
    <t xml:space="preserve"> OSS ALUMINUM 25.9 M TRUSS</t>
  </si>
  <si>
    <t xml:space="preserve"> OSS ALUMINUM 90 FT TRUSS</t>
  </si>
  <si>
    <t>06445M</t>
  </si>
  <si>
    <t xml:space="preserve"> OSS ALUMINUM 27.4 M TRUSS</t>
  </si>
  <si>
    <t xml:space="preserve"> SIGN BRIDGE ATTACHMENT BRACKET</t>
  </si>
  <si>
    <t xml:space="preserve"> REM OVERHEAD SIGN SUPPORT STR</t>
  </si>
  <si>
    <t>Box Beam Miscellaneous Details</t>
  </si>
  <si>
    <t>BDP-004-03</t>
  </si>
  <si>
    <t>Box Beam Tension Rod Details</t>
  </si>
  <si>
    <t>Box Beam B33 &amp; CB33 Details</t>
  </si>
  <si>
    <t>BGX-012-02</t>
  </si>
  <si>
    <t>Stencils for Structures</t>
  </si>
  <si>
    <t>Geotechnical Legend</t>
  </si>
  <si>
    <t>Neoprene Expansion Dams and Armored Edges</t>
  </si>
  <si>
    <t>BRIDGE ONLY</t>
  </si>
  <si>
    <t>General Information for the Whole Project</t>
  </si>
  <si>
    <t>Steel Beam Guardrail ("W" Beam)</t>
  </si>
  <si>
    <t>Guardrail Components</t>
  </si>
  <si>
    <t>HP 14X89 Steel Pile</t>
  </si>
  <si>
    <t>BBP-002-04</t>
  </si>
  <si>
    <t>Bearing Details</t>
  </si>
  <si>
    <t>Bridge Drains</t>
  </si>
  <si>
    <t>HP 12X53 Steel Pile</t>
  </si>
  <si>
    <t>Box Beam B21 &amp; CB21 Details</t>
  </si>
  <si>
    <t>Box Beam B27 &amp; CB27 Details</t>
  </si>
  <si>
    <t>Low Flow Diversion Curb</t>
  </si>
  <si>
    <t>Box Beam B12 &amp; CB12 Details</t>
  </si>
  <si>
    <t>Box Beam B17 &amp; CB17 Details</t>
  </si>
  <si>
    <t>Box Beam B42 Details</t>
  </si>
  <si>
    <t>Box Beam CB42 Details</t>
  </si>
  <si>
    <t>Slab Bridge for 12" &amp; 17" Beams</t>
  </si>
  <si>
    <t xml:space="preserve"> CABLE-INTERCONNECT</t>
  </si>
  <si>
    <t>04840M</t>
  </si>
  <si>
    <t xml:space="preserve"> CABLE-NO. 14/2C</t>
  </si>
  <si>
    <t>04841M</t>
  </si>
  <si>
    <t xml:space="preserve"> CABLE-NO. 14/3C</t>
  </si>
  <si>
    <t>04842M</t>
  </si>
  <si>
    <t xml:space="preserve"> CABLE-NO. 14/4C</t>
  </si>
  <si>
    <t>04843M</t>
  </si>
  <si>
    <t xml:space="preserve"> CABLE-NO. 14/5C</t>
  </si>
  <si>
    <t>04844M</t>
  </si>
  <si>
    <t xml:space="preserve"> CABLE-NO. 14/7C</t>
  </si>
  <si>
    <t>04845M</t>
  </si>
  <si>
    <t xml:space="preserve"> CABLE-NO. 14/1 PAIR</t>
  </si>
  <si>
    <t>04850M</t>
  </si>
  <si>
    <t xml:space="preserve"> CABLE-NO. 14/2 PAIR</t>
  </si>
  <si>
    <t>04851M</t>
  </si>
  <si>
    <t xml:space="preserve"> CABLE-NO. 14/3 PAIR</t>
  </si>
  <si>
    <t>04852M</t>
  </si>
  <si>
    <t xml:space="preserve"> CABLE-NO. 8/3C DUCTED</t>
  </si>
  <si>
    <t>04860M</t>
  </si>
  <si>
    <t xml:space="preserve"> CABLE-NO. 6/3C DUCTED</t>
  </si>
  <si>
    <t>04861M</t>
  </si>
  <si>
    <t xml:space="preserve"> CABLE-NO. 4/3C DUCTED</t>
  </si>
  <si>
    <t>04862M</t>
  </si>
  <si>
    <t xml:space="preserve"> CABLE-NO. 2/3C DUCTED</t>
  </si>
  <si>
    <t>04863M</t>
  </si>
  <si>
    <t xml:space="preserve"> CABLE-NO. 0/3C DUCTED</t>
  </si>
  <si>
    <t>04864M</t>
  </si>
  <si>
    <t xml:space="preserve"> POLE 35 FT WOODEN</t>
  </si>
  <si>
    <t>04871M</t>
  </si>
  <si>
    <t xml:space="preserve"> POLE 10.7 M WOODEN</t>
  </si>
  <si>
    <t xml:space="preserve"> POLE 40 FT WOODEN</t>
  </si>
  <si>
    <t>04872M</t>
  </si>
  <si>
    <t xml:space="preserve"> POLE 12.2 M WOODEN</t>
  </si>
  <si>
    <t xml:space="preserve"> POLE 45 FT WOODEN</t>
  </si>
  <si>
    <t>04873M</t>
  </si>
  <si>
    <t xml:space="preserve"> POLE 13.7 M WOODEN</t>
  </si>
  <si>
    <t xml:space="preserve"> STEEL STRAIN POLE</t>
  </si>
  <si>
    <t xml:space="preserve"> MAST ARM POLE</t>
  </si>
  <si>
    <t xml:space="preserve"> SIGNAL PEDESTAL</t>
  </si>
  <si>
    <t xml:space="preserve"> POST</t>
  </si>
  <si>
    <t xml:space="preserve"> ANCHOR</t>
  </si>
  <si>
    <t xml:space="preserve"> MESSENGER-10800 LB</t>
  </si>
  <si>
    <t>04885M</t>
  </si>
  <si>
    <t xml:space="preserve"> MESSENGER-48.0 KN</t>
  </si>
  <si>
    <t xml:space="preserve"> MESSENGER-15400 LB</t>
  </si>
  <si>
    <t>04886M</t>
  </si>
  <si>
    <t xml:space="preserve"> MESSENGER-68.5 KN</t>
  </si>
  <si>
    <t xml:space="preserve"> INSTALL LED SIGNAL</t>
  </si>
  <si>
    <t xml:space="preserve"> MICRO LOOP-SINGLE</t>
  </si>
  <si>
    <t xml:space="preserve"> MICRO LOOP-DUAL</t>
  </si>
  <si>
    <t xml:space="preserve"> PREFORMED LOOP/LEAD-IN</t>
  </si>
  <si>
    <t>04894M</t>
  </si>
  <si>
    <t xml:space="preserve"> LOOP SAW SLOT AND FILL</t>
  </si>
  <si>
    <t>04895M</t>
  </si>
  <si>
    <t xml:space="preserve"> TYPE B DMS</t>
  </si>
  <si>
    <t xml:space="preserve"> CAMERA TOWER</t>
  </si>
  <si>
    <t xml:space="preserve"> RWIS SENSOR INSTALLATION</t>
  </si>
  <si>
    <t xml:space="preserve"> ELECTRICAL SERVICE</t>
  </si>
  <si>
    <t xml:space="preserve"> PEDESTRIAN DETECTOR</t>
  </si>
  <si>
    <t xml:space="preserve"> TELEPHONE SERVICE</t>
  </si>
  <si>
    <t xml:space="preserve"> WIRE &amp; CABLE</t>
  </si>
  <si>
    <t>04902M</t>
  </si>
  <si>
    <t xml:space="preserve"> REFERENCE MARKER</t>
  </si>
  <si>
    <t xml:space="preserve"> BARRIER MOUNTING BRACKET</t>
  </si>
  <si>
    <t xml:space="preserve"> BLANKOUT SIGN</t>
  </si>
  <si>
    <t xml:space="preserve"> SIGNAL-8 INCH</t>
  </si>
  <si>
    <t>04910M</t>
  </si>
  <si>
    <t xml:space="preserve"> SIGNAL-203 MM</t>
  </si>
  <si>
    <t xml:space="preserve"> SIGNAL-12 INCH</t>
  </si>
  <si>
    <t>04911M</t>
  </si>
  <si>
    <t xml:space="preserve"> SIGNAL-305 MM</t>
  </si>
  <si>
    <t xml:space="preserve"> SIGNAL-3 SECTION 12 INCH</t>
  </si>
  <si>
    <t>04912M</t>
  </si>
  <si>
    <t xml:space="preserve"> SIGNAL-3 SECTION 305 MM</t>
  </si>
  <si>
    <t xml:space="preserve"> SIGNAL-4 SECTION 12 INCH</t>
  </si>
  <si>
    <t>04913M</t>
  </si>
  <si>
    <t xml:space="preserve"> SIGNAL-4 SECTION 305 MM</t>
  </si>
  <si>
    <t xml:space="preserve"> SIGNAL-5 SECTION 12 INCH</t>
  </si>
  <si>
    <t>04914M</t>
  </si>
  <si>
    <t xml:space="preserve"> SIGNAL-5 SECTION 305 MM</t>
  </si>
  <si>
    <t xml:space="preserve"> SIGNAL-PROGRAMMED</t>
  </si>
  <si>
    <t xml:space="preserve"> SIGNAL-PEDESTRIAN</t>
  </si>
  <si>
    <t xml:space="preserve"> SIGNAL CONTROLLER-TYPE 170</t>
  </si>
  <si>
    <t xml:space="preserve"> MASTER CONTROLLER</t>
  </si>
  <si>
    <t xml:space="preserve"> LOCAL CONTROLLER</t>
  </si>
  <si>
    <t xml:space="preserve"> COORDINATING UNIT</t>
  </si>
  <si>
    <t xml:space="preserve"> INTERCONNECT PANEL</t>
  </si>
  <si>
    <t xml:space="preserve"> SYSTEM SUPPORT EQUIPMENT</t>
  </si>
  <si>
    <t xml:space="preserve"> BEACON CONTROLLER-2 CIRCUIT</t>
  </si>
  <si>
    <t xml:space="preserve"> INSTALL CONTROLLER TYPE 170</t>
  </si>
  <si>
    <t xml:space="preserve"> INSTALL STEEL STRAIN POLE</t>
  </si>
  <si>
    <t xml:space="preserve"> TEMP SIGNAL 2 PHASE</t>
  </si>
  <si>
    <t xml:space="preserve"> DROP BOX INLET TYPE 16G</t>
  </si>
  <si>
    <t xml:space="preserve"> DROP BOX INLET TYPE 16GB</t>
  </si>
  <si>
    <t xml:space="preserve"> DROP BOX INLET-SPECIAL</t>
  </si>
  <si>
    <t xml:space="preserve"> CAP DROP BOX INLET</t>
  </si>
  <si>
    <t xml:space="preserve"> REMOVE DROP BOX INLET</t>
  </si>
  <si>
    <t xml:space="preserve"> DROP BOX INLET TYPE 16GT</t>
  </si>
  <si>
    <t xml:space="preserve"> DROP BOX INLET TYPE 16S</t>
  </si>
  <si>
    <t xml:space="preserve"> DROP BOX INLET TYPE 16SB</t>
  </si>
  <si>
    <t xml:space="preserve"> DROP BOX INLET TYPE 16ST</t>
  </si>
  <si>
    <t xml:space="preserve"> CONC MED BARR BOX INLET TY 12A1-B</t>
  </si>
  <si>
    <t>01603M</t>
  </si>
  <si>
    <t xml:space="preserve"> CONC MED BARR BOX INLET TY 300A1-B</t>
  </si>
  <si>
    <t xml:space="preserve"> CONC MED BARR BOX INLET TY 12B1</t>
  </si>
  <si>
    <t>21741NC</t>
  </si>
  <si>
    <t>Rem Epoxy Bit Foreign Overlay</t>
  </si>
  <si>
    <r>
      <t xml:space="preserve">Guardrail-Steel W BM S Face BR </t>
    </r>
    <r>
      <rPr>
        <b/>
        <u val="single"/>
        <sz val="8"/>
        <color indexed="22"/>
        <rFont val="Arial"/>
        <family val="2"/>
      </rPr>
      <t>or</t>
    </r>
    <r>
      <rPr>
        <sz val="8"/>
        <color indexed="22"/>
        <rFont val="Arial"/>
        <family val="2"/>
      </rPr>
      <t xml:space="preserve"> Rail System Type III</t>
    </r>
  </si>
  <si>
    <t>RAIL</t>
  </si>
  <si>
    <t>PCN Number</t>
  </si>
  <si>
    <t>(to fill in after letting)</t>
  </si>
  <si>
    <t>Transfer suggested changes from Division of Structural Design's file copy to either the return copy or review Form TC 66-115 or both.</t>
  </si>
  <si>
    <t>Forward design computations to the Division of Structural Design's files.</t>
  </si>
  <si>
    <t>Obtain electronic files from submittal and archive into the Division of Structural Design's electronic files.</t>
  </si>
  <si>
    <t>Division of Structural Design (2)</t>
  </si>
  <si>
    <t>Should horizontal stiffeners be used?  Horizontal stiffeners require prior approval from the Director of the Division of Structural Design</t>
  </si>
  <si>
    <t>Is title block complete?  (see Division of Structural Design Guidance Manual Exhibit 310)</t>
  </si>
  <si>
    <t>Back check comments the Division of Structural Design has made on the Situation Survey for this structure.</t>
  </si>
  <si>
    <t>REV. 11/05</t>
  </si>
  <si>
    <t xml:space="preserve"> GATE VALVE-8 INCH</t>
  </si>
  <si>
    <t>03528M</t>
  </si>
  <si>
    <t xml:space="preserve"> GATE VALVE-200 MM</t>
  </si>
  <si>
    <t xml:space="preserve"> GATE VALVE-10 INCH</t>
  </si>
  <si>
    <t>03530M</t>
  </si>
  <si>
    <t xml:space="preserve"> GATE VALVE-250 MM</t>
  </si>
  <si>
    <t xml:space="preserve"> GATE VALVE-12 INCH</t>
  </si>
  <si>
    <t>03532M</t>
  </si>
  <si>
    <t xml:space="preserve"> GATE VALVE-300 MM</t>
  </si>
  <si>
    <t xml:space="preserve"> GATE VALVE-16 INCH</t>
  </si>
  <si>
    <t>03536M</t>
  </si>
  <si>
    <t xml:space="preserve"> GATE VALVE-400 MM</t>
  </si>
  <si>
    <t xml:space="preserve"> BEND 11.25 DEG 4 INCH</t>
  </si>
  <si>
    <t>03537M</t>
  </si>
  <si>
    <t xml:space="preserve"> BEND 11.25 DEG 100 MM</t>
  </si>
  <si>
    <t xml:space="preserve"> BEND 11.25 DEG 6 INCH</t>
  </si>
  <si>
    <t>03538M</t>
  </si>
  <si>
    <t xml:space="preserve"> BEND 11.25 DEG 150 MM</t>
  </si>
  <si>
    <t xml:space="preserve"> BEND 11.25 DEG 8 INCH</t>
  </si>
  <si>
    <t>03539M</t>
  </si>
  <si>
    <t xml:space="preserve"> BEND 11.25 DEG 200 MM</t>
  </si>
  <si>
    <t xml:space="preserve"> BEND 11.25 DEG 10 INCH</t>
  </si>
  <si>
    <t>03540M</t>
  </si>
  <si>
    <t xml:space="preserve"> BEND 11.25 DEG 250 MM</t>
  </si>
  <si>
    <t xml:space="preserve"> BEND 11.25 DEG 12 INCH</t>
  </si>
  <si>
    <t>03541M</t>
  </si>
  <si>
    <t xml:space="preserve"> BEND 11.25 DEG 300 MM</t>
  </si>
  <si>
    <t xml:space="preserve"> BEND 11.25 DEG 14 INCH</t>
  </si>
  <si>
    <t>03542M</t>
  </si>
  <si>
    <t xml:space="preserve"> BEND 11.25 DEG 350 MM</t>
  </si>
  <si>
    <t xml:space="preserve"> BEND 11.25 DEG 16 INCH</t>
  </si>
  <si>
    <t>03543M</t>
  </si>
  <si>
    <t xml:space="preserve"> BEND 11.25 DEG 400 MM</t>
  </si>
  <si>
    <t xml:space="preserve"> BEND 22.50 DEG 4 INCH</t>
  </si>
  <si>
    <t>03544M</t>
  </si>
  <si>
    <t xml:space="preserve"> BEND 22.50 DEG 100 MM</t>
  </si>
  <si>
    <t xml:space="preserve"> BEND 22.50 DEG 6 INCH</t>
  </si>
  <si>
    <t>03545M</t>
  </si>
  <si>
    <t xml:space="preserve"> BEND 22.50 DEG 150 MM</t>
  </si>
  <si>
    <t xml:space="preserve"> BEND 22.50 DEG 8 INCH</t>
  </si>
  <si>
    <t>03546M</t>
  </si>
  <si>
    <t xml:space="preserve"> BEND 22.50 DEG 200 MM</t>
  </si>
  <si>
    <t xml:space="preserve"> BEND 22.50 DEG 10 INCH</t>
  </si>
  <si>
    <t>03547M</t>
  </si>
  <si>
    <t xml:space="preserve"> BEND 22.50 DEG 250 MM</t>
  </si>
  <si>
    <t xml:space="preserve"> BEND 22.50 DEG 12 INCH</t>
  </si>
  <si>
    <t>03548M</t>
  </si>
  <si>
    <t xml:space="preserve"> BEND 22.50 DEG 300 MM</t>
  </si>
  <si>
    <t xml:space="preserve"> BEND 22.50 DEG 14 INCH</t>
  </si>
  <si>
    <t>03549M</t>
  </si>
  <si>
    <t xml:space="preserve"> BEND 22.50 DEG 350 MM</t>
  </si>
  <si>
    <t xml:space="preserve"> CUT &amp; CAP EXIST WATER MAIN</t>
  </si>
  <si>
    <t xml:space="preserve"> TAPPING SLEEVE &amp; VALVE</t>
  </si>
  <si>
    <t>Additional Bridge Item 1</t>
  </si>
  <si>
    <t>Additional Bridge Item 2</t>
  </si>
  <si>
    <t>Additional Bridge Item 3</t>
  </si>
  <si>
    <t>Additional Bridge Item 4</t>
  </si>
  <si>
    <t>Additional Bridge Item 5</t>
  </si>
  <si>
    <t>Additional Bridge Item 6</t>
  </si>
  <si>
    <t>Additional Bridge Item 7</t>
  </si>
  <si>
    <t>Additional Bridge Item 8</t>
  </si>
  <si>
    <t>Additional Bridge Item 9</t>
  </si>
  <si>
    <t>Additional Bridge Item 10</t>
  </si>
  <si>
    <t>Additional Bridge Item 11</t>
  </si>
  <si>
    <t>Additional Bridge Item 12</t>
  </si>
  <si>
    <t xml:space="preserve"> CONC MEDIAN BARRIER TYPE 12C MOD</t>
  </si>
  <si>
    <t>03147M</t>
  </si>
  <si>
    <t xml:space="preserve"> CONC MEDIAN BARRIER TYPE 300C MOD</t>
  </si>
  <si>
    <t xml:space="preserve"> CONC MEDIAN BARRIER TYPE 9E</t>
  </si>
  <si>
    <t>03148M</t>
  </si>
  <si>
    <t xml:space="preserve"> CONC MEDIAN BARRIER TYPE 230E</t>
  </si>
  <si>
    <t xml:space="preserve"> CONC MEDIAN BARRIER TYPE 9A2</t>
  </si>
  <si>
    <t>03149M</t>
  </si>
  <si>
    <t xml:space="preserve"> CONC MEDIAN BARRIER TYPE 230A2</t>
  </si>
  <si>
    <t xml:space="preserve"> CONC MEDIAN BARRIER TYPE 9A1</t>
  </si>
  <si>
    <t>03152M</t>
  </si>
  <si>
    <t xml:space="preserve"> CONC MEDIAN BARRIER TYPE 230A1</t>
  </si>
  <si>
    <t xml:space="preserve"> CONC MEDIAN BARRIER TYPE 14A MOD</t>
  </si>
  <si>
    <t>03153M</t>
  </si>
  <si>
    <t xml:space="preserve"> CONC MEDIAN BARRIER TYPE 350A MOD</t>
  </si>
  <si>
    <t xml:space="preserve"> CONC MEDIAN BARRIER TYPE 14X</t>
  </si>
  <si>
    <t>03154M</t>
  </si>
  <si>
    <t xml:space="preserve"> CONC MEDIAN BARRIER TYPE 350X</t>
  </si>
  <si>
    <t xml:space="preserve"> CONC MEDIAN BARRIER TYPE 14A1</t>
  </si>
  <si>
    <t>03170M</t>
  </si>
  <si>
    <t>Are shear connectors deleted over flange plates at field splices on plate girders?</t>
  </si>
  <si>
    <t>Have all bridges been checked for use of correct form of expansion dam and/or armored edges (continuous angles, welds, etc.)?</t>
  </si>
  <si>
    <t>Are bearing stiffeners required to be milled to bear at top and bottom?</t>
  </si>
  <si>
    <t>Check bearing details.  Does bearing or bridge seat accommodate grade of bridge?</t>
  </si>
  <si>
    <t>Are high strength bolt notes and details current?</t>
  </si>
  <si>
    <t>Are welding notes current?</t>
  </si>
  <si>
    <t>Are stiffener-to-flange welds in accordance with current criteria?</t>
  </si>
  <si>
    <t>Is the ratio of abutting flange plate thicknesses a maximum of 2?</t>
  </si>
  <si>
    <t>Are field splices detailed for girders?</t>
  </si>
  <si>
    <t>Is the Dimension "X" note shown?</t>
  </si>
  <si>
    <t>ELEVATION SHEETS</t>
  </si>
  <si>
    <t>Are all grid line spacings 8 feet or less?</t>
  </si>
  <si>
    <t>ASSISTANT DIRECTOR FOR REVIEW</t>
  </si>
  <si>
    <t>Request the consultant to resubmit Stage 1 Final Plans if the corrections are complex or extensive.</t>
  </si>
  <si>
    <t>Assist in Step 3 above.</t>
  </si>
  <si>
    <t>Consolidate project situation files:</t>
  </si>
  <si>
    <t>Arrange chronologically all letter-size items and staple each file separate, preferably to an inside face of the advance folder.</t>
  </si>
  <si>
    <t>Staple the file copy of the approved preliminary thru the upper left corner to the outside back of the advance situation folder.  In loose form place in the file other folded plan sheets essential to a complete file.</t>
  </si>
  <si>
    <t>Verify each item to be transmitted to the consulting engineer and see that transmitted material is mailed.</t>
  </si>
  <si>
    <t>TC 66-117</t>
  </si>
  <si>
    <t>Review of Final Plans - Stage 2</t>
  </si>
  <si>
    <t xml:space="preserve"> PRECAST PC BOX BEAM SB42</t>
  </si>
  <si>
    <t>08672M</t>
  </si>
  <si>
    <t xml:space="preserve"> PRECAST PC BOX BEAM SB1065</t>
  </si>
  <si>
    <t xml:space="preserve"> WATER GATE TYPE 3</t>
  </si>
  <si>
    <t xml:space="preserve"> CHAIN LINK FENCE-7 FT</t>
  </si>
  <si>
    <t>08709M</t>
  </si>
  <si>
    <t xml:space="preserve"> CHAIN LINK FENCE-2.1 M</t>
  </si>
  <si>
    <t xml:space="preserve"> CHAIN LINK FENCE-4 FT</t>
  </si>
  <si>
    <t>08710M</t>
  </si>
  <si>
    <t xml:space="preserve"> CHAIN LINK FENCE-1.2 M</t>
  </si>
  <si>
    <t xml:space="preserve"> CHAIN LINK FENCE-6 FT</t>
  </si>
  <si>
    <t>08711M</t>
  </si>
  <si>
    <t xml:space="preserve"> CHAIN LINK FENCE-1.8 M</t>
  </si>
  <si>
    <t xml:space="preserve"> CHAIN LINK FENCE-8 FT</t>
  </si>
  <si>
    <t>08712M</t>
  </si>
  <si>
    <t xml:space="preserve"> CHAIN LINK FENCE-2.4 M</t>
  </si>
  <si>
    <t xml:space="preserve"> CHAIN LINK FENCE-9 FT</t>
  </si>
  <si>
    <t>08713M</t>
  </si>
  <si>
    <t xml:space="preserve"> CHAIN LINK FENCE-2.7 M</t>
  </si>
  <si>
    <t xml:space="preserve"> CHAIN LINK FENCE-10 FT</t>
  </si>
  <si>
    <t>08714M</t>
  </si>
  <si>
    <t xml:space="preserve"> CHAIN LINK FENCE-3.0 M</t>
  </si>
  <si>
    <t xml:space="preserve"> CHAIN LINK FENCE-12 FT</t>
  </si>
  <si>
    <t>08716M</t>
  </si>
  <si>
    <t xml:space="preserve"> CHAIN LINK FENCE-3.7 M</t>
  </si>
  <si>
    <t xml:space="preserve"> PAINT CLEARANCE GAUGES</t>
  </si>
  <si>
    <t xml:space="preserve"> GUARDRAIL-STEEL W BEAM-S FACE BR</t>
  </si>
  <si>
    <t>08801M</t>
  </si>
  <si>
    <t xml:space="preserve"> GUARDRAIL-STEEL W BEAM-S FACE CH</t>
  </si>
  <si>
    <t>08802M</t>
  </si>
  <si>
    <t xml:space="preserve"> GUARDRAIL-BRIDGE CASE I</t>
  </si>
  <si>
    <t>08805M</t>
  </si>
  <si>
    <t xml:space="preserve"> GUARDRAIL-BRIDGE CASE I-A</t>
  </si>
  <si>
    <t>08806M</t>
  </si>
  <si>
    <t xml:space="preserve"> GUARDRAIL-BRIDGE CASE I-B</t>
  </si>
  <si>
    <t>08807M</t>
  </si>
  <si>
    <t xml:space="preserve"> GUARDRAIL-BRIDGE CASE II</t>
  </si>
  <si>
    <t>08808M</t>
  </si>
  <si>
    <t xml:space="preserve"> PRECAST CONC BRIDGE RAIL BLOCK</t>
  </si>
  <si>
    <t xml:space="preserve"> REMOVE BRIDGE RAIL</t>
  </si>
  <si>
    <t>08811M</t>
  </si>
  <si>
    <t xml:space="preserve"> GUARDRAIL RADIUS ELEMENTS</t>
  </si>
  <si>
    <t>08812M</t>
  </si>
  <si>
    <t xml:space="preserve"> DRAIN PIPE-6 INCH</t>
  </si>
  <si>
    <t>08820M</t>
  </si>
  <si>
    <t xml:space="preserve"> DRAIN PIPE-150 MM</t>
  </si>
  <si>
    <t xml:space="preserve"> DRAIN PIPE-8 INCH</t>
  </si>
  <si>
    <t>08821M</t>
  </si>
  <si>
    <t xml:space="preserve"> DRAIN PIPE-200 MM</t>
  </si>
  <si>
    <t xml:space="preserve"> DRAIN PIPE-6 INCH PERFORATED</t>
  </si>
  <si>
    <t>08822M</t>
  </si>
  <si>
    <t xml:space="preserve"> DRAIN PIPE-150 MM PERFORATED</t>
  </si>
  <si>
    <t xml:space="preserve"> GUARDRAIL-STEEL W BEAM-S FACE A</t>
  </si>
  <si>
    <t>02355M</t>
  </si>
  <si>
    <t xml:space="preserve"> HAULING GUARDRAIL</t>
  </si>
  <si>
    <t xml:space="preserve"> GUARDRAIL CONNECTOR TO CONC MED BARR</t>
  </si>
  <si>
    <t xml:space="preserve"> GUARDRAIL TERMINAL SECTION NO 1</t>
  </si>
  <si>
    <t xml:space="preserve"> GUARDRAIL CONNECTOR TO BRIDGE END TY A</t>
  </si>
  <si>
    <t xml:space="preserve"> GUARDRAIL TERMINAL SECTION NO 2</t>
  </si>
  <si>
    <t xml:space="preserve"> CRASH CUSHION TYPE IX-A</t>
  </si>
  <si>
    <t xml:space="preserve"> GUARDRAIL TERMINAL SECTION NO 3</t>
  </si>
  <si>
    <t xml:space="preserve"> GUARDRAIL END TREATMENT TYPE 1</t>
  </si>
  <si>
    <t xml:space="preserve"> GUARDRAIL END TREATMENT TYPE 2A</t>
  </si>
  <si>
    <t xml:space="preserve"> GUARDRAIL END TREATMENT TYPE 7</t>
  </si>
  <si>
    <t xml:space="preserve"> REMOVE GUARDRAIL CON TO BR END</t>
  </si>
  <si>
    <t xml:space="preserve"> GUARDRAIL END TREATMENT TYPE 3</t>
  </si>
  <si>
    <t>Are all substructure units founded in accordance with Division of Materials' reports?</t>
  </si>
  <si>
    <t>Have all plans been checked with preliminary and situation survey reviews for compliance with all changes requested?</t>
  </si>
  <si>
    <t>Do culvert barrel sizes, lengths and wing design meet the requirements of the Drainage Section?</t>
  </si>
  <si>
    <t>Have plans been checked to require Energy Absorbing Systems in gore areas?</t>
  </si>
  <si>
    <t>Are unit prices current on estimate sheets?</t>
  </si>
  <si>
    <t>Are quantities current on estimate sheets?</t>
  </si>
  <si>
    <t>Do culvert General Notes include any required Special Notes (i.e., Remove existing structure, stone bedding, etc.)?</t>
  </si>
  <si>
    <t>TITLE SHEET</t>
  </si>
  <si>
    <t>Are quantities coordinated with those shown in plans?</t>
  </si>
  <si>
    <t>BBP-001-12</t>
  </si>
  <si>
    <t>BBP-003-02</t>
  </si>
  <si>
    <t>BDP-006-04</t>
  </si>
  <si>
    <t>BDP-007-04</t>
  </si>
  <si>
    <t>BDP-008-04</t>
  </si>
  <si>
    <t>BDP-009-04</t>
  </si>
  <si>
    <t>BDP-010-04</t>
  </si>
  <si>
    <t>BDP-011-04</t>
  </si>
  <si>
    <t>BDP-012-04</t>
  </si>
  <si>
    <t>BPS-003-09</t>
  </si>
  <si>
    <t>BPS-009-08</t>
  </si>
  <si>
    <t>BPS-011-04</t>
  </si>
  <si>
    <t>Dollars/1000</t>
  </si>
  <si>
    <t xml:space="preserve"> Average Price </t>
  </si>
  <si>
    <t xml:space="preserve"> % total dollars </t>
  </si>
  <si>
    <t>24489EC</t>
  </si>
  <si>
    <t>23229EC</t>
  </si>
  <si>
    <t>24094EC</t>
  </si>
  <si>
    <t>23362ES403</t>
  </si>
  <si>
    <t>23158ES505</t>
  </si>
  <si>
    <t>20757ED</t>
  </si>
  <si>
    <t>24749EC</t>
  </si>
  <si>
    <t>23911EC</t>
  </si>
  <si>
    <t>23157EN</t>
  </si>
  <si>
    <t>23307EC</t>
  </si>
  <si>
    <t>20458ES403</t>
  </si>
  <si>
    <t>24583EC</t>
  </si>
  <si>
    <t>24189ER</t>
  </si>
  <si>
    <t>21804EN</t>
  </si>
  <si>
    <t>24190ER</t>
  </si>
  <si>
    <t>23161EN</t>
  </si>
  <si>
    <t>23949EC</t>
  </si>
  <si>
    <t>BRIDGE CLEANING &amp; PREVENTIVE MAINTENANCE</t>
  </si>
  <si>
    <t>21543EN</t>
  </si>
  <si>
    <t>23274EN11F</t>
  </si>
  <si>
    <t>ALUMINUM STRUCTURAL PLATE BOX CULVERT</t>
  </si>
  <si>
    <t>24814EC</t>
  </si>
  <si>
    <t>24575ES610</t>
  </si>
  <si>
    <t>23222EC</t>
  </si>
  <si>
    <t>24679ED</t>
  </si>
  <si>
    <t>22660EN</t>
  </si>
  <si>
    <t>23864EC</t>
  </si>
  <si>
    <t>23261EC</t>
  </si>
  <si>
    <t>24631EC</t>
  </si>
  <si>
    <t>23270ES717</t>
  </si>
  <si>
    <t>20911ED</t>
  </si>
  <si>
    <t>20453ES835</t>
  </si>
  <si>
    <t>W ENCASEMENT STEEL BORED RANGE 3</t>
  </si>
  <si>
    <t>23813EC</t>
  </si>
  <si>
    <t>20360ES818</t>
  </si>
  <si>
    <t>20418ED</t>
  </si>
  <si>
    <t>20266ES835</t>
  </si>
  <si>
    <t>23484EC</t>
  </si>
  <si>
    <t>W ENCASEMENT STEEL BORED RANGE 2</t>
  </si>
  <si>
    <t>23875NC</t>
  </si>
  <si>
    <t>23625EC</t>
  </si>
  <si>
    <t>24589ED</t>
  </si>
  <si>
    <t>ELECTRICAL JUNCTION BOX-10 X 8 X 4</t>
  </si>
  <si>
    <t>23952EC</t>
  </si>
  <si>
    <t>24026EC</t>
  </si>
  <si>
    <t>20191ED</t>
  </si>
  <si>
    <t>21743NN</t>
  </si>
  <si>
    <t>23607EC</t>
  </si>
  <si>
    <t>23265ES717</t>
  </si>
  <si>
    <t>PAVE MARK TY 1 TAPE STOP BAR-24 IN</t>
  </si>
  <si>
    <t>24097EC</t>
  </si>
  <si>
    <t>23235EC</t>
  </si>
  <si>
    <t>23380EC</t>
  </si>
  <si>
    <t>24683ED</t>
  </si>
  <si>
    <t>PAVE MARKING-THERMO DOTTED LANE EXTEN</t>
  </si>
  <si>
    <t>23010EN</t>
  </si>
  <si>
    <t>PAVE MARK TEMP PAINT STOP BAR-24 IN</t>
  </si>
  <si>
    <t>23756EC</t>
  </si>
  <si>
    <t>PAVE MARK-THERM R/R ADVANCE WARN SYMBOL</t>
  </si>
  <si>
    <t>24114EC</t>
  </si>
  <si>
    <t>24386EC</t>
  </si>
  <si>
    <t>PAVE MARKING THERMO-BIKE LANE ARROW</t>
  </si>
  <si>
    <t>20366NN</t>
  </si>
  <si>
    <t>21813NN</t>
  </si>
  <si>
    <t>BDP-001-05</t>
  </si>
  <si>
    <t>BDP-005-05</t>
  </si>
  <si>
    <t>BDP-013-03</t>
  </si>
  <si>
    <t>BGX-006-10</t>
  </si>
  <si>
    <t>RGX-100-06</t>
  </si>
  <si>
    <t>RGX-105-08</t>
  </si>
  <si>
    <t>BGX-015-03</t>
  </si>
  <si>
    <t>BHS-007-07</t>
  </si>
  <si>
    <t>RBR-001-12</t>
  </si>
  <si>
    <t>RBR-005-11</t>
  </si>
  <si>
    <t>RBR-015-05</t>
  </si>
  <si>
    <t>RBR-016-05</t>
  </si>
  <si>
    <t>BGX-017-02</t>
  </si>
  <si>
    <t>BHS-008-02</t>
  </si>
  <si>
    <t>23147EN</t>
  </si>
  <si>
    <t>24596EN</t>
  </si>
  <si>
    <t>23275EN11F</t>
  </si>
  <si>
    <t>23260EC</t>
  </si>
  <si>
    <t>22939ND</t>
  </si>
  <si>
    <t>20189NS835</t>
  </si>
  <si>
    <t>20597EC</t>
  </si>
  <si>
    <t>W ENCASEMENT STEEL BORED RANGE 4</t>
  </si>
  <si>
    <t>W TAPPING SLEEVE AND VALVE SIZE 2</t>
  </si>
  <si>
    <t>W TAPPING SLEEVE AND VALVE SIZE 1</t>
  </si>
  <si>
    <t>W PIPE DCTL IRON RSTRND JOINT 08 IN</t>
  </si>
  <si>
    <t>CORED HOLE DRAINAGE BOX CON-6 IN</t>
  </si>
  <si>
    <t>24879EC</t>
  </si>
  <si>
    <t>21653ES403</t>
  </si>
  <si>
    <t>20748ED</t>
  </si>
  <si>
    <t>23019EN</t>
  </si>
  <si>
    <t>24851EC</t>
  </si>
  <si>
    <t>24878EC</t>
  </si>
  <si>
    <t>24685EC</t>
  </si>
  <si>
    <t>23386EC</t>
  </si>
  <si>
    <t>23778EC</t>
  </si>
  <si>
    <t>24880EC</t>
  </si>
  <si>
    <t>21134ND</t>
  </si>
  <si>
    <t>24640ED</t>
  </si>
  <si>
    <t>24402EC</t>
  </si>
  <si>
    <t>DURABLE WATERBORNE MARKING-4 IN Y</t>
  </si>
  <si>
    <t>24401EC</t>
  </si>
  <si>
    <t>DURABLE WATERBORNE MARKING-4 IN W</t>
  </si>
  <si>
    <t>24887EC</t>
  </si>
  <si>
    <t>24957EC</t>
  </si>
  <si>
    <t>MICROSURFACING-SURFACE COURSE - TYPE B</t>
  </si>
  <si>
    <t>24888EC</t>
  </si>
  <si>
    <t>24891EC</t>
  </si>
  <si>
    <t>PAVE MOUNT INFRARED TEMP EQUIPMENT</t>
  </si>
  <si>
    <t>24908EC</t>
  </si>
  <si>
    <t>24961EC</t>
  </si>
  <si>
    <t>24862EC</t>
  </si>
  <si>
    <t>PVC FOLD AND FORM PIPE LINER-18 IN</t>
  </si>
  <si>
    <t>24785EC</t>
  </si>
  <si>
    <t>24651ED</t>
  </si>
  <si>
    <t>24894EC</t>
  </si>
  <si>
    <t>24601EC</t>
  </si>
  <si>
    <t>24955ED</t>
  </si>
  <si>
    <t>24901EC</t>
  </si>
  <si>
    <t>22400NN</t>
  </si>
  <si>
    <t>REMOVE AND RELOCATE SIGN ASSEMBLY</t>
  </si>
  <si>
    <t>22680EN</t>
  </si>
  <si>
    <t>24695ED</t>
  </si>
  <si>
    <t>24025EC</t>
  </si>
  <si>
    <t>24900EC</t>
  </si>
  <si>
    <t>PVC CONDUIT-1 1/4 IN-SCHEDULE 80</t>
  </si>
  <si>
    <t>22692NS714</t>
  </si>
  <si>
    <t>20390NS835</t>
  </si>
  <si>
    <t>SLOPED AND PARALLEL HEADWALL-18 IN</t>
  </si>
  <si>
    <t>23055N</t>
  </si>
  <si>
    <t>23956EC</t>
  </si>
  <si>
    <t>23649EC</t>
  </si>
  <si>
    <t>20208NC</t>
  </si>
  <si>
    <t>24970EC</t>
  </si>
  <si>
    <t>24982EC</t>
  </si>
  <si>
    <t>24570EC</t>
  </si>
  <si>
    <t>24845EC</t>
  </si>
  <si>
    <t>23378EC</t>
  </si>
  <si>
    <t>24963ED</t>
  </si>
  <si>
    <t>24987EC</t>
  </si>
  <si>
    <t>24983EC</t>
  </si>
  <si>
    <t>23126EN</t>
  </si>
  <si>
    <t>24255EC</t>
  </si>
  <si>
    <t>REMOVE CABLE GUARDRAIL BARRIER SYSTEM</t>
  </si>
  <si>
    <t>23744EC</t>
  </si>
  <si>
    <t>24981EC</t>
  </si>
  <si>
    <t>20410ED</t>
  </si>
  <si>
    <t>24964EC</t>
  </si>
  <si>
    <t>23071EN</t>
  </si>
  <si>
    <t>21650NN</t>
  </si>
  <si>
    <t>24694ED</t>
  </si>
  <si>
    <t>20465EC</t>
  </si>
  <si>
    <t>24986EC</t>
  </si>
  <si>
    <t>HMA ELECTRONIC DELIVERY MGMT SYSTEM</t>
  </si>
  <si>
    <t>23608EC</t>
  </si>
  <si>
    <t>YELLOW PAINT FOR MEDIAN SAFETY NOSE</t>
  </si>
  <si>
    <t>20099ES842</t>
  </si>
  <si>
    <t>21554EN</t>
  </si>
  <si>
    <t>20100ES842</t>
  </si>
  <si>
    <t>24889EC</t>
  </si>
  <si>
    <t>23822EC</t>
  </si>
  <si>
    <t>CORED HOLE DRAINAGE BOX CON-15 IN</t>
  </si>
  <si>
    <t>SLOPED AND PARALLEL HEADWALL-15 IN</t>
  </si>
  <si>
    <t>24395EC</t>
  </si>
  <si>
    <t>22045NN</t>
  </si>
  <si>
    <t>*All years not listed under the *must type price note are from before 2013</t>
  </si>
  <si>
    <t>24995EC</t>
  </si>
  <si>
    <t>PAVE STRIPING-SPRAY THERMO-6 IN W</t>
  </si>
  <si>
    <t>24996EC</t>
  </si>
  <si>
    <t>PAVE STRIPING-SPRAY THERMO-6 IN Y</t>
  </si>
  <si>
    <t>25010EC</t>
  </si>
  <si>
    <t>GEOCOMPOSITE REINFORCEMENT FOR ASPHALT</t>
  </si>
  <si>
    <t>25017ED</t>
  </si>
  <si>
    <t>24861EC</t>
  </si>
  <si>
    <t>PVC FOLD AND FORM PIPE LINER-15 IN</t>
  </si>
  <si>
    <t>24863EC</t>
  </si>
  <si>
    <t>PVC FOLD AND FORM PIPE LINER-24 IN</t>
  </si>
  <si>
    <t>24790EC</t>
  </si>
  <si>
    <t>25008EC</t>
  </si>
  <si>
    <t>PAVE STRIPING-THERMO-6 IN W-WET REFLECT</t>
  </si>
  <si>
    <t>25009EC</t>
  </si>
  <si>
    <t>PAVE STRIPING-THERMO-6 IN Y-WET REFLECT</t>
  </si>
  <si>
    <t>24864EC</t>
  </si>
  <si>
    <t>PVC FOLD AND FORM PIPE LINER-30 IN</t>
  </si>
  <si>
    <t>25019EC</t>
  </si>
  <si>
    <t>FURNISH QUEUE PROTECTION VEHICLES</t>
  </si>
  <si>
    <t>23007EN</t>
  </si>
  <si>
    <t>25075EC</t>
  </si>
  <si>
    <t>25028ED</t>
  </si>
  <si>
    <t>RAIL SYSTEM SINGLE SLOPE - 40 IN</t>
  </si>
  <si>
    <t>24969ED</t>
  </si>
  <si>
    <t>24365EC</t>
  </si>
  <si>
    <t>W PIPE POLYETHYLENE/PLASTIC 06 INCH</t>
  </si>
  <si>
    <t>24875EC</t>
  </si>
  <si>
    <t>24522EC</t>
  </si>
  <si>
    <t>20194ED</t>
  </si>
  <si>
    <t>21659NN</t>
  </si>
  <si>
    <t>22581EN</t>
  </si>
  <si>
    <t>23254ES717</t>
  </si>
  <si>
    <t>PAVE MARK TY 1 TAPE DOTTED LANE EXT</t>
  </si>
  <si>
    <t>23253ES717</t>
  </si>
  <si>
    <t>21541NN</t>
  </si>
  <si>
    <t>CORED HOLE DRAINAGE BOX CON- 18 IN</t>
  </si>
  <si>
    <t>21476ED</t>
  </si>
  <si>
    <t>20509ED</t>
  </si>
  <si>
    <t>FABRIC-GEOTEXTILE CLASS 2 FOR PIPE</t>
  </si>
  <si>
    <t>23872EC</t>
  </si>
  <si>
    <t>24858EC</t>
  </si>
  <si>
    <t>24768EC</t>
  </si>
  <si>
    <t>23379EC</t>
  </si>
  <si>
    <t>23871EC</t>
  </si>
  <si>
    <t>25090EC</t>
  </si>
  <si>
    <t>21119ED</t>
  </si>
  <si>
    <t>23979EC</t>
  </si>
  <si>
    <t>25078ED</t>
  </si>
  <si>
    <t>23964EC</t>
  </si>
  <si>
    <t>20166ES810</t>
  </si>
  <si>
    <t>S ENCASEMENT STEEL BORED RANGE 4</t>
  </si>
  <si>
    <t>W ENCASEMENT STEEL BORED RANGE 5</t>
  </si>
  <si>
    <t>20667ED</t>
  </si>
  <si>
    <t>PIPE CULVERT HEADWALL-66 IN EQUIV</t>
  </si>
  <si>
    <t>20738NS112</t>
  </si>
  <si>
    <t>24751ED</t>
  </si>
  <si>
    <t>24805ED</t>
  </si>
  <si>
    <t>24810ED</t>
  </si>
  <si>
    <t>21341ND</t>
  </si>
  <si>
    <t>G SERVICE SHORT SIDE 1 OR 1-1/4 INCH INS</t>
  </si>
  <si>
    <t>26119EC</t>
  </si>
  <si>
    <t>INSTALL RADAR PRESENCE DETECTOR TYPE A</t>
  </si>
  <si>
    <t>G SERVICE LONG SIDE 1 OR 1-1/4 INCH INST</t>
  </si>
  <si>
    <t>26120EC</t>
  </si>
  <si>
    <t>INSTALL RADAR ADVANCE DETECTOR TYPE B</t>
  </si>
  <si>
    <t>23256ES717</t>
  </si>
  <si>
    <t>20205EC</t>
  </si>
  <si>
    <t>BGX-022</t>
  </si>
  <si>
    <t>BGX-026</t>
  </si>
  <si>
    <t>Joint Waterproofing</t>
  </si>
  <si>
    <t>Air Vent Details</t>
  </si>
  <si>
    <t>25077EC</t>
  </si>
  <si>
    <t>21590EN</t>
  </si>
  <si>
    <t>24904EC</t>
  </si>
  <si>
    <t>23963EC</t>
  </si>
  <si>
    <t>G PIPE POLYETHYLENE/PLASTIC 12 INCH INST</t>
  </si>
  <si>
    <t>22883EN</t>
  </si>
  <si>
    <t>25050ED</t>
  </si>
  <si>
    <t>GEOTEXTILE BOND BREAKER INTERLAYER</t>
  </si>
  <si>
    <t>26136EC</t>
  </si>
  <si>
    <t>PORTABLE QUEUE WARNING ALERT SYSTEM</t>
  </si>
  <si>
    <t>MONT</t>
  </si>
  <si>
    <t>21421ED</t>
  </si>
  <si>
    <t>21420ED</t>
  </si>
  <si>
    <t>25117EC</t>
  </si>
  <si>
    <t>23539EC</t>
  </si>
  <si>
    <t>21969NN</t>
  </si>
  <si>
    <t>26137EC</t>
  </si>
  <si>
    <t>21687EN</t>
  </si>
  <si>
    <t>21799EN</t>
  </si>
  <si>
    <t>S ENCASEMENT STEEL BORED RANGE 6</t>
  </si>
  <si>
    <t>20412ED</t>
  </si>
  <si>
    <t>S ENCASEMENT STEEL BORED RANGE 3</t>
  </si>
  <si>
    <t>24728EX</t>
  </si>
  <si>
    <t>24668EC</t>
  </si>
  <si>
    <t>20196ED</t>
  </si>
  <si>
    <t>24132EC</t>
  </si>
  <si>
    <t>20072ES805</t>
  </si>
  <si>
    <t>24186EC</t>
  </si>
  <si>
    <t>24692EC</t>
  </si>
  <si>
    <t>G PIPE POLYETHYLENE/PLASTIC 04 INCH INST</t>
  </si>
  <si>
    <t>24903EC</t>
  </si>
  <si>
    <t>S FORCE MAIN AIR RLS/VAC VLV 02 IN</t>
  </si>
  <si>
    <t>26138EC</t>
  </si>
  <si>
    <t>QUEUE WARNING PORTABLE RADAR SENSORS</t>
  </si>
  <si>
    <t>21800EN</t>
  </si>
  <si>
    <t>26131ED</t>
  </si>
  <si>
    <t>SLOPED AND MITERED HEADWALL-18 IN</t>
  </si>
  <si>
    <t>24899EC</t>
  </si>
  <si>
    <t>PAVE MARKING-THERMO ELONG ROUTE SHIELD</t>
  </si>
  <si>
    <t>26129EC</t>
  </si>
  <si>
    <t>23168ED</t>
  </si>
  <si>
    <t>20637ED</t>
  </si>
  <si>
    <t>23899EC</t>
  </si>
  <si>
    <t>PAVE STRIPE-PERM PAINT-6 IN WET REF-W</t>
  </si>
  <si>
    <t>23900EC</t>
  </si>
  <si>
    <t>PAVE STRIPE-PERM PAINT-6 IN WET REF-Y</t>
  </si>
  <si>
    <t>22417EN</t>
  </si>
  <si>
    <t>S ENCASEMENT STEEL BORED RANGE 5</t>
  </si>
  <si>
    <t>W PIPE POLYETHYLENE/PLASTIC SPECIAL</t>
  </si>
  <si>
    <t>20818ND</t>
  </si>
  <si>
    <t>23277EN11F</t>
  </si>
  <si>
    <t>20318ES508</t>
  </si>
  <si>
    <t>23322EC</t>
  </si>
  <si>
    <t>26132ED</t>
  </si>
  <si>
    <t>SLOPED AND MITERED HEADWALL-24 IN</t>
  </si>
  <si>
    <t>26141EC</t>
  </si>
  <si>
    <t>20569ES710</t>
  </si>
  <si>
    <t>24896ED</t>
  </si>
  <si>
    <t>25079ED</t>
  </si>
  <si>
    <t>THRIE BEAM GUARDRAIL TRANSITION TL-2</t>
  </si>
  <si>
    <t>W ENCASEMENT STEEL BORED RANGE 1</t>
  </si>
  <si>
    <t>22000ED</t>
  </si>
  <si>
    <t>24731EC</t>
  </si>
  <si>
    <t>21370ED</t>
  </si>
  <si>
    <t>20408ES835</t>
  </si>
  <si>
    <t>20263ED</t>
  </si>
  <si>
    <t>20663ED</t>
  </si>
  <si>
    <t>PIPE CULVERT HEADWALL-54 IN EQUIV</t>
  </si>
  <si>
    <t>24585EC</t>
  </si>
  <si>
    <t>S FORCE MAIN AIR RLS/VAC VLV SPCL</t>
  </si>
  <si>
    <t>24381EC</t>
  </si>
  <si>
    <t>24595EN</t>
  </si>
  <si>
    <t>G PIPE POLYETHYLENE/PLASTIC 02 INCH</t>
  </si>
  <si>
    <t>24461ED</t>
  </si>
  <si>
    <t>24115EC</t>
  </si>
  <si>
    <t>23821EC</t>
  </si>
  <si>
    <t>24843EC</t>
  </si>
  <si>
    <t>24096EC</t>
  </si>
  <si>
    <t>24662EC</t>
  </si>
  <si>
    <t>23839EC</t>
  </si>
  <si>
    <t>G PIPE POLYETHYLENE/PLASTIC 08 INCH INST</t>
  </si>
  <si>
    <t>23068NN</t>
  </si>
  <si>
    <t>REMOVE &amp; REINSTALL COORDINATING UNIT</t>
  </si>
  <si>
    <t>23020EN</t>
  </si>
  <si>
    <t>ACRE</t>
  </si>
  <si>
    <t>22978EN</t>
  </si>
  <si>
    <t>G TIE-IN POLYETHYLENE/PLASTIC 02 INCH</t>
  </si>
  <si>
    <t>24526ED</t>
  </si>
  <si>
    <t>21819NN</t>
  </si>
  <si>
    <t>20452ES835</t>
  </si>
  <si>
    <t>G TIE-IN POLYETHYLENE/PLASTIC 03 INCH</t>
  </si>
  <si>
    <t>06601NC</t>
  </si>
  <si>
    <t>23216EC</t>
  </si>
  <si>
    <t>REMOVE AND REINSTALL JUNCTION BOX</t>
  </si>
  <si>
    <t>23044ES508</t>
  </si>
  <si>
    <t>METAL END SECTION TY 3-18 IN (EQUIV)</t>
  </si>
  <si>
    <t>23251ES717</t>
  </si>
  <si>
    <t>23276EN11F</t>
  </si>
  <si>
    <t>23269ES717</t>
  </si>
  <si>
    <t>24705EC</t>
  </si>
  <si>
    <t>G PIPE POLYETHYLENE/PLASTIC 03 INCH</t>
  </si>
  <si>
    <t>24124EC</t>
  </si>
  <si>
    <t>24405EC</t>
  </si>
  <si>
    <t>G VALVE POLYETHYLENE/PLASTIC 08 IN INST</t>
  </si>
  <si>
    <t>24488ED</t>
  </si>
  <si>
    <t>G VALVE POLYETHYLENE/PLASTIC 12 IN INST</t>
  </si>
  <si>
    <t>24176EC</t>
  </si>
  <si>
    <t>23745EC</t>
  </si>
  <si>
    <t>23610NC</t>
  </si>
  <si>
    <t>24663ED</t>
  </si>
  <si>
    <t>20267EC</t>
  </si>
  <si>
    <t>W TAPPING SLEEVE AND VALVE SIZE 1 INST</t>
  </si>
  <si>
    <t>CL2 ASPH SURF 0.38D PG64-22</t>
  </si>
  <si>
    <t>ROADWAY EXCAVATION</t>
  </si>
  <si>
    <t>CL3 ASPH BASE 1.00D PG64-22</t>
  </si>
  <si>
    <t>CL4 ASPH SURF 0.38A PG76-22</t>
  </si>
  <si>
    <t>CRUSHED STONE BASE</t>
  </si>
  <si>
    <t>MOBILIZATION</t>
  </si>
  <si>
    <t>MAINTAIN &amp; CONTROL TRAFFIC</t>
  </si>
  <si>
    <t>CL2 ASPH BASE 1.00D PG64-22</t>
  </si>
  <si>
    <t>CL3 ASPH SURF 0.38B PG64-22</t>
  </si>
  <si>
    <t>CONCRETE-CLASS A</t>
  </si>
  <si>
    <t>LEVELING &amp; WEDGING PG64-22</t>
  </si>
  <si>
    <t>ASPHALT PAVE MILLING &amp; TEXTURING</t>
  </si>
  <si>
    <t>DEMOBILIZATION</t>
  </si>
  <si>
    <t>CONCRETE-CLASS AA</t>
  </si>
  <si>
    <t>EMBANKMENT IN PLACE</t>
  </si>
  <si>
    <t>CL4 ASPH BASE 1.00D PG76-22</t>
  </si>
  <si>
    <t>STRUCTURAL STEEL</t>
  </si>
  <si>
    <t>GUARDRAIL-STEEL W BEAM-S FACE</t>
  </si>
  <si>
    <t>ASPHALT ADJUSTMENT</t>
  </si>
  <si>
    <t>DGA BASE</t>
  </si>
  <si>
    <t>SOUND BARRIER WALL</t>
  </si>
  <si>
    <t>CLEARING AND GRUBBING</t>
  </si>
  <si>
    <t>CL2 ASPH SURF 0.38B PG64-22</t>
  </si>
  <si>
    <t>G/R STEEL W BEAM-S FACE (7 FT POST)</t>
  </si>
  <si>
    <t>CL4 ASPH SURF 0.50A PG76-22</t>
  </si>
  <si>
    <t>STEEL REINFORCEMENT-EPOXY COATED</t>
  </si>
  <si>
    <t>PAVE STRIPING-WB PAINT-4 IN Y</t>
  </si>
  <si>
    <t>CRUSHED AGGREGATE SIZE NO 2</t>
  </si>
  <si>
    <t>PAVE STRIPING-THERMO-6 IN W</t>
  </si>
  <si>
    <t>CL3 ASPH SURF 0.38A PG64-22</t>
  </si>
  <si>
    <t>FUEL ADJUSTMENT</t>
  </si>
  <si>
    <t>CL2 ASPH SURF NO.4D PG64-22</t>
  </si>
  <si>
    <t>CONCRETE BARRIER WALL TYPE 9T</t>
  </si>
  <si>
    <t>PAVE STRIPING-THERMO-6 IN Y</t>
  </si>
  <si>
    <t>STAKING</t>
  </si>
  <si>
    <t>CL3 ASPH SURF 0.38D PG64-22</t>
  </si>
  <si>
    <t>CL4 ASPH BASE 1.00D PG64-22</t>
  </si>
  <si>
    <t>RAILROAD RAILS-DRILLED</t>
  </si>
  <si>
    <t>CL3 ASPH SURF NO.4B PG64-22</t>
  </si>
  <si>
    <t>CL3 ASPH SURF 0.50B PG64-22</t>
  </si>
  <si>
    <t>BASE FAILURE REPAIR</t>
  </si>
  <si>
    <t>CL3 ASPH BASE 1.00D PG76-22</t>
  </si>
  <si>
    <t>PAVE STRIPING-WB PAINT-4 IN W</t>
  </si>
  <si>
    <t>PRE-DRILLING FOR PILES</t>
  </si>
  <si>
    <t>CONCRETE OVERLAY-LATEX</t>
  </si>
  <si>
    <t>W PIPE DUCTILE IRON 24 INCH</t>
  </si>
  <si>
    <t>ASPHALT SCRATCH COURSE PG76-22</t>
  </si>
  <si>
    <t>FABRIC-GEOTEXTILE CLASS 1</t>
  </si>
  <si>
    <t>ASPHALT MATERIAL FOR TACK NON-TRACKING</t>
  </si>
  <si>
    <t>PRECAST PC I BEAM TYPE 6</t>
  </si>
  <si>
    <t>CL3 ASPH SURF 0.38A PG76-22</t>
  </si>
  <si>
    <t>DITCHING AND SHOULDERING</t>
  </si>
  <si>
    <t>PAVE STRIPING-PERM PAINT-6 IN</t>
  </si>
  <si>
    <t>SIDEWALK-4 IN CONCRETE</t>
  </si>
  <si>
    <t>CURB BOX INLET TYPE A</t>
  </si>
  <si>
    <t>REMOVE STRUCTURE</t>
  </si>
  <si>
    <t>CHANNEL LINING CLASS II</t>
  </si>
  <si>
    <t>STORM SEWER PIPE-18 IN</t>
  </si>
  <si>
    <t>SEEDING AND PROTECTION</t>
  </si>
  <si>
    <t>W PIPE DUCTILE IRON 12 INCH</t>
  </si>
  <si>
    <t>LEVELING &amp; WEDGING PG76-22</t>
  </si>
  <si>
    <t>CLEAN &amp; PAINT STRUCTURAL STEEL</t>
  </si>
  <si>
    <t>PRECAST PC I BEAM TYPE 4</t>
  </si>
  <si>
    <t>CL3 ASPH SURF 0.50A PG76-22</t>
  </si>
  <si>
    <t>CEMENT</t>
  </si>
  <si>
    <t>STANDARD CURB AND GUTTER</t>
  </si>
  <si>
    <t>PAVE STRIPING-TEMP PAINT-4 IN</t>
  </si>
  <si>
    <t>CL2 ASPH BIND 0.50D PG64-22</t>
  </si>
  <si>
    <t>CL2 ASPH BASE 0.75D PG64-22</t>
  </si>
  <si>
    <t>DRAINAGE BLANKET-TYPE II-ASPH</t>
  </si>
  <si>
    <t>ASPHALT SEAL AGGREGATE</t>
  </si>
  <si>
    <t>ASPHALT SEAL COAT</t>
  </si>
  <si>
    <t>PRECAST PC I BEAM TYPE 7</t>
  </si>
  <si>
    <t>DIVERSIONS (BY-PASS DETOURS)</t>
  </si>
  <si>
    <t>24787EN</t>
  </si>
  <si>
    <t>SHEET PILING</t>
  </si>
  <si>
    <t>PAVEMENT REPAIR</t>
  </si>
  <si>
    <t>GUARDRAIL END TREATMENT TYPE 1</t>
  </si>
  <si>
    <t>STORM SEWER PIPE-15 IN</t>
  </si>
  <si>
    <t>MOBILIZATION FOR MILL &amp; TEXT</t>
  </si>
  <si>
    <t>REMOVE PAVEMENT</t>
  </si>
  <si>
    <t>PRECAST PC I BEAM TYPE 9</t>
  </si>
  <si>
    <t>JOINT ADHESIVE</t>
  </si>
  <si>
    <t>EROSION CONTROL BLANKET</t>
  </si>
  <si>
    <t>W PIPE PVC 06 INCH</t>
  </si>
  <si>
    <t>PILES-STEEL HP14X89</t>
  </si>
  <si>
    <t>PAVE STRIPING-PERM PAINT-4 IN</t>
  </si>
  <si>
    <t>PRECAST PC I BEAM TYPE 8</t>
  </si>
  <si>
    <t>CHANNEL LINING CLASS III</t>
  </si>
  <si>
    <t>CL3 ASPH SURF 0.50D PG64-22</t>
  </si>
  <si>
    <t>W PIPE PVC 12 INCH</t>
  </si>
  <si>
    <t>CL4 ASPH BASE 1.50D PG64-22</t>
  </si>
  <si>
    <t>CL3 ASPH BASE 1.50D PG64-22</t>
  </si>
  <si>
    <t>TEMPORARY SIGNS</t>
  </si>
  <si>
    <t>PILES-STEEL HP12X53</t>
  </si>
  <si>
    <t>GRANULAR EMBANKMENT</t>
  </si>
  <si>
    <t>REMOVE ASPHALT SHOULDER</t>
  </si>
  <si>
    <t>LIME STABILIZED ROADBED</t>
  </si>
  <si>
    <t>CEMENT STABILIZED ROADBED</t>
  </si>
  <si>
    <t>MICROSURFACING-LEVELING COURSE</t>
  </si>
  <si>
    <t>CONCRETE-CLASS B</t>
  </si>
  <si>
    <t>FENCE-WOVEN WIRE TYPE 1</t>
  </si>
  <si>
    <t>FABRIC-GEOTEXTILE CLASS 1A</t>
  </si>
  <si>
    <t>26172EC</t>
  </si>
  <si>
    <t>DRILLED SHAFT-36 IN SOLID ROCK</t>
  </si>
  <si>
    <t>PERFORATED PIPE-4 IN</t>
  </si>
  <si>
    <t>ASPHALT MATERIAL FOR TACK</t>
  </si>
  <si>
    <t>RETAINING WALL</t>
  </si>
  <si>
    <t>PRECAST PC I BEAM TYPE 2</t>
  </si>
  <si>
    <t>CULVERT PIPE-24 IN</t>
  </si>
  <si>
    <t>EXCAVATION AND BACKFILL</t>
  </si>
  <si>
    <t>CULVERT PIPE-18 IN</t>
  </si>
  <si>
    <t>CEM CONC ENT PAVEMENT-8 IN</t>
  </si>
  <si>
    <t>STORM SEWER PIPE-24 IN</t>
  </si>
  <si>
    <t>INLAID PAVEMENT MARKER-B W/R</t>
  </si>
  <si>
    <t>INLAID PAVEMENT MARKER-MW</t>
  </si>
  <si>
    <t>LOOP SAW SLOT AND FILL</t>
  </si>
  <si>
    <t>EDGELINE RUMBLE STRIPS</t>
  </si>
  <si>
    <t>CL3 ASPH BASE CK PG64-22</t>
  </si>
  <si>
    <t>PAVE STRIPING-WB PAINT-6 IN W</t>
  </si>
  <si>
    <t>TEMP MULCH</t>
  </si>
  <si>
    <t>PAVE STRIPING-WB PAINT-6 IN Y</t>
  </si>
  <si>
    <t>PRECAST PC I BEAM TYPE 3</t>
  </si>
  <si>
    <t>INLAID PAVEMENT MARKER-BY</t>
  </si>
  <si>
    <t>CULVERT PIPE-48 IN</t>
  </si>
  <si>
    <t>G PIPE STEEL 04 INCH</t>
  </si>
  <si>
    <t>ASPHALT SCRATCH COURSE PG64-22</t>
  </si>
  <si>
    <t>PERFORATED PIPE EDGE DRAIN-4 IN</t>
  </si>
  <si>
    <t>CRIBBING</t>
  </si>
  <si>
    <t>POLE 120 FT MTG HT HIGH MAST</t>
  </si>
  <si>
    <t>ASPHALT MIX FOR PAVEMENT WEDGE</t>
  </si>
  <si>
    <t>CONCRETE PATCHING REPAIR</t>
  </si>
  <si>
    <t>CONCRETE MEDIAN BARRIER TY 14C(50)</t>
  </si>
  <si>
    <t>26173EC</t>
  </si>
  <si>
    <t>DRILLED SHAFT-42 IN COMMON</t>
  </si>
  <si>
    <t>BRIDGE BARRIER RETROFIT</t>
  </si>
  <si>
    <t>STRUCTURE GRANULAR BACKFILL</t>
  </si>
  <si>
    <t>CULVERT PIPE-60 IN</t>
  </si>
  <si>
    <t>JACK &amp; SUPPORT BRIDGE SPAN</t>
  </si>
  <si>
    <t>TEMP SEEDING AND PROTECTION</t>
  </si>
  <si>
    <t>PAVE STRIPING-TEMP PAINT-6 IN</t>
  </si>
  <si>
    <t>LIME</t>
  </si>
  <si>
    <t>CRUSHED AGGREGATE SIZE NO 23</t>
  </si>
  <si>
    <t>ARMORED EDGE FOR CONCRETE</t>
  </si>
  <si>
    <t>26160EC</t>
  </si>
  <si>
    <t>INTERMEDIATE FOUNDATION IMPROVEMENTS</t>
  </si>
  <si>
    <t>EXPAN JOINT REPLACE 4 IN</t>
  </si>
  <si>
    <t>BLOW UP/RELIEF JOINT</t>
  </si>
  <si>
    <t>CL2 ASPH SURF 0.50D PG64-22</t>
  </si>
  <si>
    <t>S PIPE PVC 08 INCH</t>
  </si>
  <si>
    <t>26176ED</t>
  </si>
  <si>
    <t>CONC MEDIAN BARRIER TYPE 12C2-42 IN</t>
  </si>
  <si>
    <t>REMOVE GUARDRAIL</t>
  </si>
  <si>
    <t>PCC PAVEMENT</t>
  </si>
  <si>
    <t>PPC I-BEAM TYPE HN 36-49</t>
  </si>
  <si>
    <t>STANDARD CURB AND GUTTER MOD</t>
  </si>
  <si>
    <t>STORM SEWER PIPE-48 IN</t>
  </si>
  <si>
    <t>TEMP SILT FENCE</t>
  </si>
  <si>
    <t>FIBER REINFORCEMENT FOR HMA</t>
  </si>
  <si>
    <t>24520EC</t>
  </si>
  <si>
    <t>PPC I-BEAM HN 48-49</t>
  </si>
  <si>
    <t>CONCRETE SEALING</t>
  </si>
  <si>
    <t>S PIPE PVC 12 INCH</t>
  </si>
  <si>
    <t>RELOCATE TEMP CONC BARRIER</t>
  </si>
  <si>
    <t>POLYMER ASPHALT EMULSION FOR CHIP SEAL</t>
  </si>
  <si>
    <t>SBM ALUMINUM PANEL SIGNS</t>
  </si>
  <si>
    <t>CYCLOPEAN STONE RIP RAP</t>
  </si>
  <si>
    <t>MAST ARM POLE</t>
  </si>
  <si>
    <t>PARTIAL DEPTH PATCHING</t>
  </si>
  <si>
    <t>10203ND</t>
  </si>
  <si>
    <t>PAVEMENT ADJUSTMENT</t>
  </si>
  <si>
    <t>OSS ALUMINUM 80 FT TRUSS</t>
  </si>
  <si>
    <t>OSS ALUMINUM 90 FT TRUSS</t>
  </si>
  <si>
    <t>STRUCTURE EXCAV-SOLID ROCK</t>
  </si>
  <si>
    <t>CURB BOX INLET TYPE B</t>
  </si>
  <si>
    <t>CULVERT PIPE-36 IN</t>
  </si>
  <si>
    <t>STEEL POST TYPE 1</t>
  </si>
  <si>
    <t>CRASH CUSHION TY VI CLASS C</t>
  </si>
  <si>
    <t>JPC PAVEMENT-10 IN</t>
  </si>
  <si>
    <t>JPC PAVEMENT-8 IN</t>
  </si>
  <si>
    <t>CL2 ASPH SURF 0.50B PG64-22</t>
  </si>
  <si>
    <t>CL3 ASPH SURF NO.4D PG64-22</t>
  </si>
  <si>
    <t>26175EC</t>
  </si>
  <si>
    <t>ROADSIDE REGRADING</t>
  </si>
  <si>
    <t>PRECAST PC BOX BEAM SB27</t>
  </si>
  <si>
    <t>TEST PILES</t>
  </si>
  <si>
    <t>LONGITUDINAL EDGE KEY</t>
  </si>
  <si>
    <t>25004EC</t>
  </si>
  <si>
    <t>DRILLED SHAFT - 90 IN (SOLID ROCK)</t>
  </si>
  <si>
    <t>FABRIC-GEOTEXTILE CLASS 2</t>
  </si>
  <si>
    <t>DETECTABLE WARNINGS</t>
  </si>
  <si>
    <t>PRECAST PC BOX BEAM SB21</t>
  </si>
  <si>
    <t>CLASS A CONCRETE FOR SIGNS</t>
  </si>
  <si>
    <t>GROUT</t>
  </si>
  <si>
    <t>EC DUCT - 06 BANK</t>
  </si>
  <si>
    <t>ASPHALT SEAL AGGREGATE - TYPE D</t>
  </si>
  <si>
    <t>HYDRODEMOLITION</t>
  </si>
  <si>
    <t>ENTRANCE PIPE-15 IN</t>
  </si>
  <si>
    <t>25003EC</t>
  </si>
  <si>
    <t>DRILLED SHAFT - 96 IN (COMMON)</t>
  </si>
  <si>
    <t>PRECAST PC BOX BEAM CB17-48</t>
  </si>
  <si>
    <t>STORM SEWER PIPE-30 IN</t>
  </si>
  <si>
    <t>SAFELOADING</t>
  </si>
  <si>
    <t>TRAFFIC BOUND BASE</t>
  </si>
  <si>
    <t>REM EPOXY BIT FOREIGN OVERLAY</t>
  </si>
  <si>
    <t>STANDARD HEADER CURB</t>
  </si>
  <si>
    <t>S FORCE MAIN PE/PLASTIC 14 INCH</t>
  </si>
  <si>
    <t>CULVERT PIPE-30 IN</t>
  </si>
  <si>
    <t>REMOVE PCC PAVEMENT</t>
  </si>
  <si>
    <t>SODDING</t>
  </si>
  <si>
    <t>CL3 ASPH SURF NO.4A PG64-22</t>
  </si>
  <si>
    <t>CL2 ASPH BASE CK PG64-22</t>
  </si>
  <si>
    <t>PAVE MARKING-THERMO STOP BAR-24IN</t>
  </si>
  <si>
    <t>PAVE MARKING-THERMO CURV ARROW</t>
  </si>
  <si>
    <t>ASPHALT CURING SEAL</t>
  </si>
  <si>
    <t>GUARDRAIL END TREATMENT TYPE 4A</t>
  </si>
  <si>
    <t>HIGH FRICTION SURFACE TREATMENT</t>
  </si>
  <si>
    <t>PAVE MARK THERMO CHEVRON</t>
  </si>
  <si>
    <t>INSTALL STEEL STRAIN POLE</t>
  </si>
  <si>
    <t>STORM SEWER PIPE-36 IN</t>
  </si>
  <si>
    <t>PAVE MARKING-THERMO CROSS-HATCH</t>
  </si>
  <si>
    <t>SBM ALUM SHEET SIGNS .080 IN</t>
  </si>
  <si>
    <t>PRECAST PC BOX BEAM SB17</t>
  </si>
  <si>
    <t>SHOULDER MILLING/TRENCHING</t>
  </si>
  <si>
    <t>DRAINAGE BLANKET-EMBANKMENT</t>
  </si>
  <si>
    <t>SHOULDER RUMBLE STRIPS</t>
  </si>
  <si>
    <t>FLUME INLET TYPE 2</t>
  </si>
  <si>
    <t>CONC MEDIAN BARRIER TYPE 12C1</t>
  </si>
  <si>
    <t>CHANNEL LINING CLASS IV</t>
  </si>
  <si>
    <t>SIDEWALK-6 IN CONCRETE</t>
  </si>
  <si>
    <t>CULVERT PIPE-54 IN</t>
  </si>
  <si>
    <t>STRUCTURE EXCAVATION-COMMON</t>
  </si>
  <si>
    <t>TRENCHING AND BACKFILLING</t>
  </si>
  <si>
    <t>OPEN CUT ROADWAY</t>
  </si>
  <si>
    <t>OVERBAND CRACK SEALING</t>
  </si>
  <si>
    <t>ISLAND CURB AND GUTTER</t>
  </si>
  <si>
    <t>TRIM &amp; REMOVE TREES &amp; BRUSH</t>
  </si>
  <si>
    <t>W VALVE 24 INCH</t>
  </si>
  <si>
    <t>TRAFFIC SIGNAL POLE BASE</t>
  </si>
  <si>
    <t>EDGE KEY</t>
  </si>
  <si>
    <t>QUALITY CONTROL</t>
  </si>
  <si>
    <t>SILT TRAP TYPE B</t>
  </si>
  <si>
    <t>PRECAST PC BOX BEAM CB42-48</t>
  </si>
  <si>
    <t>PRECAST PC BOX BEAM CB27-48</t>
  </si>
  <si>
    <t>PAVE STRIPING-DUR TY 1-6 IN W</t>
  </si>
  <si>
    <t>W ENCASEMENT STEEL BORED RANGE 6</t>
  </si>
  <si>
    <t>SITE PREPARATION</t>
  </si>
  <si>
    <t>LANE CLOSURE</t>
  </si>
  <si>
    <t>TRENCHING</t>
  </si>
  <si>
    <t>TURF REINFORCEMENT MAT 1</t>
  </si>
  <si>
    <t>HDPE PIPE LINER</t>
  </si>
  <si>
    <t>ELIMINATE TRANSVERSE JOINT</t>
  </si>
  <si>
    <t>EROSION CONTROL</t>
  </si>
  <si>
    <t>GUARDRAIL CONNECTOR TO BRIDGE END TY A</t>
  </si>
  <si>
    <t>CROSSOVER</t>
  </si>
  <si>
    <t>REMOVE CONCRETE MASONRY</t>
  </si>
  <si>
    <t>RELOCATE CRASH CUSHION</t>
  </si>
  <si>
    <t>BEARING REPLACEMENT</t>
  </si>
  <si>
    <t>24192EC</t>
  </si>
  <si>
    <t>SOUND BARRIER WALL-WALL MOUNTED</t>
  </si>
  <si>
    <t>ARROW PANEL</t>
  </si>
  <si>
    <t>HIGH MAST LED LUMINAIRE</t>
  </si>
  <si>
    <t>CEMENT CONCRETE ISLAND</t>
  </si>
  <si>
    <t>23859EC</t>
  </si>
  <si>
    <t>FINGER EXPANSION JOINT</t>
  </si>
  <si>
    <t>PRECAST PC BOX BEAM SB33</t>
  </si>
  <si>
    <t>MANHOLE TYPE C</t>
  </si>
  <si>
    <t>MACHINE PREP OF SLAB</t>
  </si>
  <si>
    <t>STAMPED CONCRETE</t>
  </si>
  <si>
    <t>LIGHTING CONTROL EQUIPMENT</t>
  </si>
  <si>
    <t>INITIAL FERTILIZER</t>
  </si>
  <si>
    <t>DECORATIVE HANDRAIL</t>
  </si>
  <si>
    <t>CULVERT PIPE-42 IN</t>
  </si>
  <si>
    <t>PAVEMENT MARKER TYPE IV-BY</t>
  </si>
  <si>
    <t>PIEZOELECTRIC SENSOR</t>
  </si>
  <si>
    <t>ELECTRICAL JUNCTION BOX TYPE B</t>
  </si>
  <si>
    <t>DITCHING</t>
  </si>
  <si>
    <t>W PIPE DUCTILE IRON 08 INCH</t>
  </si>
  <si>
    <t>W VALVE 12 INCH</t>
  </si>
  <si>
    <t>S MANHOLE</t>
  </si>
  <si>
    <t>DROP BOX INLET TYPE 13G</t>
  </si>
  <si>
    <t>NON-PERFORATED PIPE-4 IN</t>
  </si>
  <si>
    <t>GUARDRAIL END TREATMENT TYPE 7</t>
  </si>
  <si>
    <t>24936EC</t>
  </si>
  <si>
    <t>FULL DEPTH RECLAMATION WITH CEMENT</t>
  </si>
  <si>
    <t>QUEUE PROTECTION VEHICLE</t>
  </si>
  <si>
    <t>QWICK CURB MEDIAN SEPARATOR</t>
  </si>
  <si>
    <t>EC DUCT - 04 BANK</t>
  </si>
  <si>
    <t>CL4 ASPH SURF NO.4A PG64-22</t>
  </si>
  <si>
    <t>PAVEMENT MARKER TYPE IV-B W/R</t>
  </si>
  <si>
    <t>PAVE STRIPING-DUR TY 1-6 IN Y</t>
  </si>
  <si>
    <t>FLEXIBLE DELINEATOR POST-M/W</t>
  </si>
  <si>
    <t>21288ND</t>
  </si>
  <si>
    <t>CONC MEDIAN BARRIER TYPE 12C2-50 IN</t>
  </si>
  <si>
    <t>PRECAST PC BOX BEAM CB12-48</t>
  </si>
  <si>
    <t>CONC MED BARR BOX INLET TY 14B2</t>
  </si>
  <si>
    <t>JPC PAVEMENT-11 IN</t>
  </si>
  <si>
    <t>BLAST CLEANING</t>
  </si>
  <si>
    <t>GUARDRAIL END TREATMENT TYPE 2A</t>
  </si>
  <si>
    <t>26167EC</t>
  </si>
  <si>
    <t>CONCRETE-CLASS AA - IC</t>
  </si>
  <si>
    <t>MAINTENANCE FERTILIZER</t>
  </si>
  <si>
    <t>REMOVE SIGNAL EQUIPMENT</t>
  </si>
  <si>
    <t>DROP BOX INLET TYPE 1</t>
  </si>
  <si>
    <t>26162EC</t>
  </si>
  <si>
    <t>DURABLE WATERBORNE MARKING-12 IN W</t>
  </si>
  <si>
    <t>INSTALL SIGNAL CONTROLLER-TY ATC</t>
  </si>
  <si>
    <t>APPROACH SLAB</t>
  </si>
  <si>
    <t>AGRICULTURAL LIMESTONE</t>
  </si>
  <si>
    <t>23000EX</t>
  </si>
  <si>
    <t>DRILLED SHAFT-66 IN (ROCK)</t>
  </si>
  <si>
    <t>PAVEMENT MARKER TYPE IV-MW</t>
  </si>
  <si>
    <t>PAVE STRIPING-TEMP REM TAPE-B</t>
  </si>
  <si>
    <t>CONCRETE COATING</t>
  </si>
  <si>
    <t>PRECAST PC BOX BEAM SB42</t>
  </si>
  <si>
    <t>CRASH CUSHION TY VI CLASS BT TL3</t>
  </si>
  <si>
    <t>LAW ENFORCEMENT OFFICER</t>
  </si>
  <si>
    <t>W FIRE HYDRANT ASSEMBLY</t>
  </si>
  <si>
    <t>RIGHT-OF-WAY MONUMENT TYPE 1</t>
  </si>
  <si>
    <t>W PIPE DUCTILE IRON 06 INCH</t>
  </si>
  <si>
    <t>FINE MILLING</t>
  </si>
  <si>
    <t>SILT TRAP TYPE A</t>
  </si>
  <si>
    <t>PAVE MARKING-THERMO X-WALK-6 IN</t>
  </si>
  <si>
    <t>TEMP DITCH</t>
  </si>
  <si>
    <t>CL2 ASPH BASE 1.50D PG64-22</t>
  </si>
  <si>
    <t>WATER BLASTING EXISTING STRIPE</t>
  </si>
  <si>
    <t>BOX CULVERT</t>
  </si>
  <si>
    <t>PAVE STRIPING REMOVAL-6 IN</t>
  </si>
  <si>
    <t>TEMP SIGNAL 2 PHASE</t>
  </si>
  <si>
    <t>REMOVE HEADWALL</t>
  </si>
  <si>
    <t>CRASH CUSHION TYPE IX-A</t>
  </si>
  <si>
    <t>QUEUE WARNING PCMS</t>
  </si>
  <si>
    <t>SILT TRAP TYPE C</t>
  </si>
  <si>
    <t>SAWCUT PAVEMENT</t>
  </si>
  <si>
    <t>TOPSOIL FURNISHED AND PLACED</t>
  </si>
  <si>
    <t>GROOVE FOR PAVE STRIPING - 7 IN</t>
  </si>
  <si>
    <t>REMOVE PIPE</t>
  </si>
  <si>
    <t>PAVE STRIPING-THERMO-12 IN W</t>
  </si>
  <si>
    <t>RAIL SYSTEM SIDE MOUNTED MGS</t>
  </si>
  <si>
    <t>ELECTRICAL JUNCTION BOX TYPE A</t>
  </si>
  <si>
    <t>CRUSHED AGGREGATE SLOPE PROT</t>
  </si>
  <si>
    <t>EXTRA LENGTH GUARDRAIL POST</t>
  </si>
  <si>
    <t>PRECAST PC BOX BEAM CB21-48</t>
  </si>
  <si>
    <t>CLEAN CULVERT</t>
  </si>
  <si>
    <t>BORE AND JACK PIPE-24 IN</t>
  </si>
  <si>
    <t>TEMP CRASH CUSHION</t>
  </si>
  <si>
    <t>CONCRETE WEDGE CURB</t>
  </si>
  <si>
    <t>BORE AND JACK CONDUIT</t>
  </si>
  <si>
    <t>SPECIAL HEADER CURB</t>
  </si>
  <si>
    <t>GMSS GALV STEEL TYPE A</t>
  </si>
  <si>
    <t>24958EC</t>
  </si>
  <si>
    <t>MICROSURFACING-SURFACE COURSE - TYPE D</t>
  </si>
  <si>
    <t>CRUSHED AGGREGATE SIZE NO 57</t>
  </si>
  <si>
    <t>PAVE STRIPING-TEMP REM TAPE-W</t>
  </si>
  <si>
    <t>GMSS GALV STEEL TYPE C</t>
  </si>
  <si>
    <t>CL2 ASPH SURF NO.4B PG64-22</t>
  </si>
  <si>
    <t>OSS ALUMINUM 95 FT TRUSS</t>
  </si>
  <si>
    <t>REMOVE PAVEMENT MARKER TYPE V</t>
  </si>
  <si>
    <t>THRIE BEAM GUARDRAIL TRANSITION TL-3</t>
  </si>
  <si>
    <t>INLAID PAVEMENT MARKER-MY</t>
  </si>
  <si>
    <t>S BYPASS PUMPING</t>
  </si>
  <si>
    <t>PIPELINE INSPECTION</t>
  </si>
  <si>
    <t>SBM ALUM SHEET SIGNS .125 IN</t>
  </si>
  <si>
    <t>GALVANIC ANODE</t>
  </si>
  <si>
    <t>ENTRANCE PIPE-24 IN</t>
  </si>
  <si>
    <t>POLE BASE-HIGH MAST</t>
  </si>
  <si>
    <t>PAVE STRIPING-TEMP REM TAPE-Y</t>
  </si>
  <si>
    <t>LOOP WIRE</t>
  </si>
  <si>
    <t>PIPE CULVERT HEADWALL-48 IN</t>
  </si>
  <si>
    <t>REPAIR BLOWUP</t>
  </si>
  <si>
    <t>CULVERT PIPE-15 IN</t>
  </si>
  <si>
    <t>W ENCASEMENT STEEL OPEN CUT RANGE 3</t>
  </si>
  <si>
    <t>EXPAN JOINT REPLACE 2 IN</t>
  </si>
  <si>
    <t>PAINT CLEARANCE GAUGES</t>
  </si>
  <si>
    <t>24781EC</t>
  </si>
  <si>
    <t>INTELLIGENT COMPACTION FOR ASPHALT</t>
  </si>
  <si>
    <t>TEMPORARY PIPE</t>
  </si>
  <si>
    <t>CENTERLINE RUMBLE STRIPS</t>
  </si>
  <si>
    <t>INSTALL LED SIGNAL-3 SECTION</t>
  </si>
  <si>
    <t>DROP BOX INLET TYPE 5B</t>
  </si>
  <si>
    <t>W FIRE HYDRANT RELOCATE</t>
  </si>
  <si>
    <t>W PIPE DCTL IRON RSTRND JOINT 12 IN</t>
  </si>
  <si>
    <t>REMOVE SUPERSTRUCTURE</t>
  </si>
  <si>
    <t>STORM SEWER PIPE-54 IN</t>
  </si>
  <si>
    <t>ENTRANCE PIPE-18 IN</t>
  </si>
  <si>
    <t>EPOXY SAND SLURRY</t>
  </si>
  <si>
    <t>25116EC</t>
  </si>
  <si>
    <t>BORE AND JACK PIPE-54 IN</t>
  </si>
  <si>
    <t>CULVERT PIPE-72 IN</t>
  </si>
  <si>
    <t>LOOP TEST</t>
  </si>
  <si>
    <t>PIPE CULVERT HEADWALL-36 IN</t>
  </si>
  <si>
    <t>REMOVE TEMP CONC BARRIER WALL</t>
  </si>
  <si>
    <t>CRASH CUSHION TY VI CLASS C TL3</t>
  </si>
  <si>
    <t>CABLE-NO. 14/1 PAIR</t>
  </si>
  <si>
    <t>GUARDRAIL-STEEL W BEAM-D FACE</t>
  </si>
  <si>
    <t>LIP CURB AND GUTTER</t>
  </si>
  <si>
    <t>W PIPE PVC 16 INCH INST</t>
  </si>
  <si>
    <t>S FORCE MAIN PVC 06 INCH</t>
  </si>
  <si>
    <t>PERFORATED PIPE EDGE DRAIN-6 IN</t>
  </si>
  <si>
    <t>POLE 40 FT MTG HT</t>
  </si>
  <si>
    <t>TEMP GUARDRAIL</t>
  </si>
  <si>
    <t>INSTALL TEMP CRASH CUSHION</t>
  </si>
  <si>
    <t>CONDUIT-1 1/4 IN</t>
  </si>
  <si>
    <t>3-SIDED CULVERT</t>
  </si>
  <si>
    <t>24440EC</t>
  </si>
  <si>
    <t>REMOVE SUBSTRUCTURE CONCRETE</t>
  </si>
  <si>
    <t>PERF PIPE HEADWALL TY 3-4 IN</t>
  </si>
  <si>
    <t>PIPE CULVERT HEADWALL-54 IN</t>
  </si>
  <si>
    <t>LIP HEADER CURB</t>
  </si>
  <si>
    <t>CRUSHED AGG BASE COURSE</t>
  </si>
  <si>
    <t>20591EC</t>
  </si>
  <si>
    <t>REMOVE BARRIER</t>
  </si>
  <si>
    <t>CABLE-NO. 10/3C DUCTED</t>
  </si>
  <si>
    <t>24103EC</t>
  </si>
  <si>
    <t>FRENCH DRAIN</t>
  </si>
  <si>
    <t>CRASH CUSHION TYPE IX</t>
  </si>
  <si>
    <t>PAVE MARK-THERMO-X-WALK-24 IN</t>
  </si>
  <si>
    <t>CLEAN PIPE STRUCTURE</t>
  </si>
  <si>
    <t>JUNCTION BOX-SPECIAL</t>
  </si>
  <si>
    <t>ASPHALT EMULSION FOR FOG SEAL</t>
  </si>
  <si>
    <t>RETAINING WALL-GABION</t>
  </si>
  <si>
    <t>STANDARD BARRIER MEDIAN TYPE 5</t>
  </si>
  <si>
    <t>SUBGRADE STABILIZATION</t>
  </si>
  <si>
    <t>BRIDGE CLEANING</t>
  </si>
  <si>
    <t>MAINTAIN LIGHTING</t>
  </si>
  <si>
    <t>OSS ALUMINUM 85 FT TRUSS</t>
  </si>
  <si>
    <t>24649EN</t>
  </si>
  <si>
    <t>24625EC</t>
  </si>
  <si>
    <t>REMOVE AND REINSTALL QWICK CURB</t>
  </si>
  <si>
    <t>ROCK CORINGS</t>
  </si>
  <si>
    <t>SAFETY BOX INLET-18 IN DBL SDB-5</t>
  </si>
  <si>
    <t>EXPAN JOINT REPLACE 1 IN</t>
  </si>
  <si>
    <t>LIME-TREATED SUBGRADE</t>
  </si>
  <si>
    <t>UTILITY COORDINATION</t>
  </si>
  <si>
    <t>26166ES717</t>
  </si>
  <si>
    <t>PAVE MARK TY1 TAPE CHEVRON</t>
  </si>
  <si>
    <t>OSS ALUMINUM 100 FT TRUSS</t>
  </si>
  <si>
    <t>JOINT SEAL REPLACEMENT</t>
  </si>
  <si>
    <t>PIPE CULVERT HEADWALL-18 IN</t>
  </si>
  <si>
    <t>CL3 ASPH SURF 0.50B PG76-22</t>
  </si>
  <si>
    <t>DRILLED SHAFT-54 IN-COMMON</t>
  </si>
  <si>
    <t>FLOWABLE FILL</t>
  </si>
  <si>
    <t>S &amp; F BOX INLET-OUTLET-36 IN</t>
  </si>
  <si>
    <t>POLE BASE</t>
  </si>
  <si>
    <t>GMSS TYPE D</t>
  </si>
  <si>
    <t>DROP BOX INLET TYPE 5F</t>
  </si>
  <si>
    <t>W ENCASEMENT STEEL OPEN CUT RANGE 5</t>
  </si>
  <si>
    <t>CONDUIT-3 IN</t>
  </si>
  <si>
    <t>SAW CUT</t>
  </si>
  <si>
    <t>SHOULDER RUMBLE STRIPS-SAWED</t>
  </si>
  <si>
    <t>24838EC</t>
  </si>
  <si>
    <t>SOLAR POWERED NAV LIGHTING SYSTEM</t>
  </si>
  <si>
    <t>JPC PAVEMENT-9 IN</t>
  </si>
  <si>
    <t>TREE TRIMMING</t>
  </si>
  <si>
    <t>PIPE CULVERT HEADWALL-24 IN</t>
  </si>
  <si>
    <t>W PLUG EXISTING MAIN</t>
  </si>
  <si>
    <t>HEADWALL</t>
  </si>
  <si>
    <t>GUARDRAIL-STEEL W BEAM-S FACE A</t>
  </si>
  <si>
    <t>W VAULT SPECIAL</t>
  </si>
  <si>
    <t>JUNCTION BOX</t>
  </si>
  <si>
    <t>REMOVE LIGHTING</t>
  </si>
  <si>
    <t>CRASH CUSHION TY VI CLASS BT TL2</t>
  </si>
  <si>
    <t>GRANULAR BACKFILL</t>
  </si>
  <si>
    <t>S &amp; F BOX INLET-OUTLET-18 IN</t>
  </si>
  <si>
    <t>WOOD PLANK FENCE</t>
  </si>
  <si>
    <t>ELASTICIZED EPS</t>
  </si>
  <si>
    <t>MOUNTABLE MEDIAN TYPE 1A</t>
  </si>
  <si>
    <t>TEMPORARY SILT FENCE</t>
  </si>
  <si>
    <t>W TIE-IN 08 INCH</t>
  </si>
  <si>
    <t>S PIPE PVC 10 INCH</t>
  </si>
  <si>
    <t>CULVERT PIPE-60 IN EQUIV</t>
  </si>
  <si>
    <t>25084ED</t>
  </si>
  <si>
    <t>PILES-STEEL W18X158</t>
  </si>
  <si>
    <t>W METER RELOCATE</t>
  </si>
  <si>
    <t>DROP BOX INLET TYPE 3</t>
  </si>
  <si>
    <t>PIPE CULVERT HEADWALL-30 IN</t>
  </si>
  <si>
    <t>DRILLED SHAFT-66 IN (COMMON)</t>
  </si>
  <si>
    <t>SAFETY BOX INLET-18 IN SDB-1</t>
  </si>
  <si>
    <t>PAVE STRIPE-WET REF TAPE-6 IN W</t>
  </si>
  <si>
    <t>W CAP EXISTING MAIN</t>
  </si>
  <si>
    <t>W TIE-IN 12 INCH</t>
  </si>
  <si>
    <t>S &amp; F BOX INLET-OUTLET-24 IN</t>
  </si>
  <si>
    <t>EC ELECTRIC MANHOLE</t>
  </si>
  <si>
    <t>CONC CLASS M FULL DEPTH PATCH</t>
  </si>
  <si>
    <t>PAVE MARK TY 1 TAPE CROSS-HATCH</t>
  </si>
  <si>
    <t>CONCRETE STAINING</t>
  </si>
  <si>
    <t>DRY STONE MASONRY WALL</t>
  </si>
  <si>
    <t>PERFORATED PIPE-6 IN</t>
  </si>
  <si>
    <t>REMOVE CONCRETE ROLL CURB</t>
  </si>
  <si>
    <t>HANDRAIL-TYPE A-1</t>
  </si>
  <si>
    <t>CABLE-NO. 14/7C</t>
  </si>
  <si>
    <t>OSS ALUMINUM 110 FT TRUSS</t>
  </si>
  <si>
    <t>W SERV PE/PLST LONG SIDE 2 IN</t>
  </si>
  <si>
    <t>20394ES835</t>
  </si>
  <si>
    <t>PVC CONDUIT-3 IN- IN MEDIAN BARRIER WALL</t>
  </si>
  <si>
    <t>EC DUCT - 06 BANK CONCRETE ENCASED</t>
  </si>
  <si>
    <t>SHEAR CONNECTORS</t>
  </si>
  <si>
    <t>PVC PIPE-4 IN</t>
  </si>
  <si>
    <t>W METER 1 INCH</t>
  </si>
  <si>
    <t>26182EC</t>
  </si>
  <si>
    <t>BORE AND JACK PIPE-66 IN</t>
  </si>
  <si>
    <t>PIPE CULVERT HEADWALL-42 IN</t>
  </si>
  <si>
    <t>S ENCASEMENT STEEL OPEN CUT RANGE 6</t>
  </si>
  <si>
    <t>CONDUIT-2 IN</t>
  </si>
  <si>
    <t>PILE POINTS-12 IN</t>
  </si>
  <si>
    <t>PIPE REPAIR</t>
  </si>
  <si>
    <t>DRILLED SHAFT-60 IN (SOLID ROCK)</t>
  </si>
  <si>
    <t>26181EC</t>
  </si>
  <si>
    <t>BORE AND JACK PIPE-60 IN</t>
  </si>
  <si>
    <t>PERF PIPE HEADWALL TY 1-4 IN</t>
  </si>
  <si>
    <t>GUARDRAIL-BRIDGE CASE I-A</t>
  </si>
  <si>
    <t>POLYMER ASPHALT EMULSION FOR SCRUB SEAL</t>
  </si>
  <si>
    <t>BARRICADE-TYPE III</t>
  </si>
  <si>
    <t>S FORCE MAIN TIE-IN SPECIAL</t>
  </si>
  <si>
    <t>SPECIAL SEEDING CROWN VETCH</t>
  </si>
  <si>
    <t>STANDARD BARRIER MEDIAN TYPE 2</t>
  </si>
  <si>
    <t>MOUNTABLE MEDIAN TYPE 3A</t>
  </si>
  <si>
    <t>EXPAN JOINT REPLACE 1 1/2 IN</t>
  </si>
  <si>
    <t>POLE 30 FT MTG HT</t>
  </si>
  <si>
    <t>STRUCTURE EXCAV-UNCLASSIFIED</t>
  </si>
  <si>
    <t>BARCODE SIGN INVENTORY</t>
  </si>
  <si>
    <t>REMOVE TREES OR STUMPS</t>
  </si>
  <si>
    <t>21138ED</t>
  </si>
  <si>
    <t>ASPHALT WATERPROOFING MIX</t>
  </si>
  <si>
    <t>STEEL REINFORCEMENT FOR SIGNS</t>
  </si>
  <si>
    <t>REMOVE PAVEMENT MARKER</t>
  </si>
  <si>
    <t>REMOVE &amp; RESET FENCE</t>
  </si>
  <si>
    <t>STORM SEWER PIPE-42 IN</t>
  </si>
  <si>
    <t>CONC MEDIAN BARRIER TYPE 14C1</t>
  </si>
  <si>
    <t>W PIPE DUCTILE IRON 16 INCH</t>
  </si>
  <si>
    <t>PIPE CULVERT HEADWALL-60 IN</t>
  </si>
  <si>
    <t>S FORCE MAIN PVC 03 INCH</t>
  </si>
  <si>
    <t>21998NN</t>
  </si>
  <si>
    <t>SITE RESTORATION</t>
  </si>
  <si>
    <t>24745EC</t>
  </si>
  <si>
    <t>MULTIPLATE STEEL ARCH PIPE</t>
  </si>
  <si>
    <t>W ENCASEMENT SPECIAL</t>
  </si>
  <si>
    <t>DROP BOX INLET TYPE 14</t>
  </si>
  <si>
    <t>HIGH TENSION CABLE-ROPE BARRIER</t>
  </si>
  <si>
    <t>NAVIGATION LIGHT 180 DEG RED</t>
  </si>
  <si>
    <t>W PIPE PVC 10 INCH</t>
  </si>
  <si>
    <t>INSTALL SIGNAL PEDESTAL</t>
  </si>
  <si>
    <t>W SERV COPPER SHORT SIDE 3/4 IN</t>
  </si>
  <si>
    <t>W PIPE PVC 04 INCH</t>
  </si>
  <si>
    <t>SLOPED BOX OUTLET TYPE 1-24 IN</t>
  </si>
  <si>
    <t>CRASH CUSHION TY VI CLASS B TL2</t>
  </si>
  <si>
    <t>23365EC</t>
  </si>
  <si>
    <t>LIGHTING-NAV MONITORING SYSTEM</t>
  </si>
  <si>
    <t>W TIE-IN 06 INCH</t>
  </si>
  <si>
    <t>W METER VAULT</t>
  </si>
  <si>
    <t>23151NN</t>
  </si>
  <si>
    <t>POLE WITH LOWERING DEVICE</t>
  </si>
  <si>
    <t>W SERV PE/PLST LONG SIDE 1 IN</t>
  </si>
  <si>
    <t>22533EN</t>
  </si>
  <si>
    <t>ALUMINUM ALLOY STRUCT PLATE PIPE ARCH</t>
  </si>
  <si>
    <t>GEOGRID REINFORCEMENT FOR SUBGRADE</t>
  </si>
  <si>
    <t>PVC CONDUIT-2 IN-SCHEDULE 80</t>
  </si>
  <si>
    <t>S CIPP LINER 54 INCH</t>
  </si>
  <si>
    <t>CLEAN TEMP DITCH</t>
  </si>
  <si>
    <t>W PIPE DUCTILE IRON 03 INCH</t>
  </si>
  <si>
    <t>23409EC</t>
  </si>
  <si>
    <t>TRAFFIC SIGNAL POLE</t>
  </si>
  <si>
    <t>CABLE-NO. 14/5C</t>
  </si>
  <si>
    <t>DROP BOX INLET TYPE 2</t>
  </si>
  <si>
    <t>STANDARD INTEGRAL CURB</t>
  </si>
  <si>
    <t>SPREADING STOCKPILED TOPSOIL</t>
  </si>
  <si>
    <t>REM OVERHEAD STRUC CONC BASE</t>
  </si>
  <si>
    <t>W VALVE 08 INCH</t>
  </si>
  <si>
    <t>24388ES508</t>
  </si>
  <si>
    <t>CONC MEDIAN BARRIER TYPE 14C1(50)</t>
  </si>
  <si>
    <t>20545ND</t>
  </si>
  <si>
    <t>TEMP MEDIAN CROSSOVER</t>
  </si>
  <si>
    <t>REMOVE CURB AND GUTTER</t>
  </si>
  <si>
    <t>BRIDGE RAIL</t>
  </si>
  <si>
    <t>PERFORATED PIPE-8 IN</t>
  </si>
  <si>
    <t>W DIRECTIONAL BORE</t>
  </si>
  <si>
    <t>STANDARD HEADER CURB MOD</t>
  </si>
  <si>
    <t>CONCRETE FORM LINER</t>
  </si>
  <si>
    <t>23407EC</t>
  </si>
  <si>
    <t>ORNAMENTAL FENCE</t>
  </si>
  <si>
    <t>W ENCASEMENT STEEL OPEN CUT RANGE 4</t>
  </si>
  <si>
    <t>CL4 ASPH BASE 1.50D PG76-22</t>
  </si>
  <si>
    <t>EXPAN JOINT REPLACE 2 1/2 IN</t>
  </si>
  <si>
    <t>REMOVE &amp; RELOCATE SIGNS</t>
  </si>
  <si>
    <t>SIDEWALK FLUME</t>
  </si>
  <si>
    <t>PAVE STRIPE-WET REF TAPE-6 IN Y</t>
  </si>
  <si>
    <t>S MANHOLE ABANDON/REMOVE</t>
  </si>
  <si>
    <t>LANE SEPARATOR CURB</t>
  </si>
  <si>
    <t>DELINEATOR FOR GUARDRAIL B/W</t>
  </si>
  <si>
    <t>ROADWAY CROSS SECTION</t>
  </si>
  <si>
    <t>END ANCHORS</t>
  </si>
  <si>
    <t>OSS ALUMINUM 75 FT TRUSS</t>
  </si>
  <si>
    <t>MANHOLE TYPE A</t>
  </si>
  <si>
    <t>S MANHOLE SPECIAL</t>
  </si>
  <si>
    <t>BOLLARDS</t>
  </si>
  <si>
    <t>W VALVE 06 INCH</t>
  </si>
  <si>
    <t>SLOPED BOX OUTLET TYPE 1-18 IN</t>
  </si>
  <si>
    <t>CONC MEDIAN BARRIER TYPE 12C TL3</t>
  </si>
  <si>
    <t>INLAID PAVEMENT MARKER-B Y/R</t>
  </si>
  <si>
    <t>S PIPE PVC 24 INCH</t>
  </si>
  <si>
    <t>WITNESS POST</t>
  </si>
  <si>
    <t>DECK DRAIN</t>
  </si>
  <si>
    <t>S FORCE MAIN VALVE SPECIAL</t>
  </si>
  <si>
    <t>25092EC</t>
  </si>
  <si>
    <t>JOINT TROUGH REPLACEMENT</t>
  </si>
  <si>
    <t>PRECAST PC BOX BEAM B12-48</t>
  </si>
  <si>
    <t>DROP BOX INLET TYPE 7</t>
  </si>
  <si>
    <t>W SERV COPPER LONG SIDE 3/4 IN</t>
  </si>
  <si>
    <t>MESSENGER-15400 LB</t>
  </si>
  <si>
    <t>REPAIR BRIDGE</t>
  </si>
  <si>
    <t>20211ES706</t>
  </si>
  <si>
    <t>BORE &amp; JACK PIPE</t>
  </si>
  <si>
    <t>EC COMMUNICATIONS PULL BOX</t>
  </si>
  <si>
    <t>BORE AND JACK PIPE-18 IN</t>
  </si>
  <si>
    <t>S PIPE SPECIAL</t>
  </si>
  <si>
    <t>DROP BOX INLET TYPE 5D</t>
  </si>
  <si>
    <t>INSTALL PEDESTRIAN HEAD-LED</t>
  </si>
  <si>
    <t>FUSED CONNECTOR KIT</t>
  </si>
  <si>
    <t>TEMP SIGNAL</t>
  </si>
  <si>
    <t>REMOVE SIGN</t>
  </si>
  <si>
    <t>W MAIN POINT RELOCATE INST</t>
  </si>
  <si>
    <t>POLE BASE IN MEDIAN WALL</t>
  </si>
  <si>
    <t>FENCE-TEMP</t>
  </si>
  <si>
    <t>W SERV PE/PLST SHORT SIDE 1 IN</t>
  </si>
  <si>
    <t>W PIPE PVC 03 INCH</t>
  </si>
  <si>
    <t>G SPECIAL ITEM</t>
  </si>
  <si>
    <t>PREFAB CONC. BLDG &amp; FND IN-PLACE</t>
  </si>
  <si>
    <t>S &amp; F BOX INLET-OUTLET-30 IN</t>
  </si>
  <si>
    <t>TRANSFORMER BASE</t>
  </si>
  <si>
    <t>REMOVE AND REPLACE SIDEWALK</t>
  </si>
  <si>
    <t>TEMP RELOCATION OF SIGNAL HEAD</t>
  </si>
  <si>
    <t>STANDARD BARRIER MEDIAN TYPE 3 MOD</t>
  </si>
  <si>
    <t>25071ED</t>
  </si>
  <si>
    <t>SIDEWALK UNDERDRAIN</t>
  </si>
  <si>
    <t>PAVE STRIPING-DUR TY 1-12 IN W</t>
  </si>
  <si>
    <t>GALVANIZED STEEL CABINET</t>
  </si>
  <si>
    <t>CL2 ASPH SURF 0.38D PG76-22</t>
  </si>
  <si>
    <t>FLEXIBLE DELINEATOR POST-M/Y</t>
  </si>
  <si>
    <t>PAVE MARKING THERMO-BIKE</t>
  </si>
  <si>
    <t>W SERV PE/PLST LONG SIDE 3/4 IN</t>
  </si>
  <si>
    <t>STEEL REPAIR</t>
  </si>
  <si>
    <t>TEMP SIGNAL MULTI PHASE</t>
  </si>
  <si>
    <t>24828EC</t>
  </si>
  <si>
    <t>BOULDER TOE WALL</t>
  </si>
  <si>
    <t>MOUNTABLE MEDIAN TYPE 2A</t>
  </si>
  <si>
    <t>ROCK ROADBED</t>
  </si>
  <si>
    <t>DROP BOX INLET TYPE 3 MOD</t>
  </si>
  <si>
    <t>W METER/FIRE SERVICE COMBO VAULT</t>
  </si>
  <si>
    <t>S FORCE MAIN VALVE GATE</t>
  </si>
  <si>
    <t>G REGULATOR STATION</t>
  </si>
  <si>
    <t>PREFAB CONC. BLDG EQUIP IN-PLACE</t>
  </si>
  <si>
    <t>BASE MOUNTED RUNWAY EDGE LIGHT</t>
  </si>
  <si>
    <t>G/R STEEL W BEAM-S FACE-(NESTED)</t>
  </si>
  <si>
    <t>CL2 ASPH SURF 0.38A PG64-22</t>
  </si>
  <si>
    <t>ISLAND HEADER CURB TYPE 2</t>
  </si>
  <si>
    <t>LED LUMINAIRE</t>
  </si>
  <si>
    <t>DROP BOX INLET TYPE 12A</t>
  </si>
  <si>
    <t>DROP BOX INLET TYPE 12</t>
  </si>
  <si>
    <t>CULVERT PIPE-66 IN</t>
  </si>
  <si>
    <t>FINAL DRESSING CLASS B</t>
  </si>
  <si>
    <t>CABLE-NO. 8/3C DUCTED</t>
  </si>
  <si>
    <t>20172ED</t>
  </si>
  <si>
    <t>CONCRETE BARRIER</t>
  </si>
  <si>
    <t>RAIL SYSTEM TYPE III</t>
  </si>
  <si>
    <t>PAVE STRIPING REMOVAL-4 IN</t>
  </si>
  <si>
    <t>PAVE MARK-THERMO-YIELD</t>
  </si>
  <si>
    <t>23332EC</t>
  </si>
  <si>
    <t>BORE AND JACK PIPE-42 IN</t>
  </si>
  <si>
    <t>S FORCE MAIN SPECIAL</t>
  </si>
  <si>
    <t>STEEL POST TYPE 2</t>
  </si>
  <si>
    <t>REMOVE GUARDRAIL END TREATMENT</t>
  </si>
  <si>
    <t>WOOD POST</t>
  </si>
  <si>
    <t>23584EC</t>
  </si>
  <si>
    <t>DRILLED SHAFT-42 IN-ROCK</t>
  </si>
  <si>
    <t>CLEAN SILT TRAP TYPE B</t>
  </si>
  <si>
    <t>21655EN</t>
  </si>
  <si>
    <t>REMOVE ASBESTOS PIPE</t>
  </si>
  <si>
    <t>W ENCASEMENT STEEL OPEN CUT RANGE 6</t>
  </si>
  <si>
    <t>PAVE MARKING-THERMO ONLY</t>
  </si>
  <si>
    <t>INSTALL COORDINATING UNIT</t>
  </si>
  <si>
    <t>GUARDRAIL CONNECTOR TO BRIDGE END TY A-1</t>
  </si>
  <si>
    <t>EPOXY INJECTION CRACK REPAIR</t>
  </si>
  <si>
    <t>21777EN</t>
  </si>
  <si>
    <t>DRILLED SHAFT COMMON-54 IN</t>
  </si>
  <si>
    <t>24967EC</t>
  </si>
  <si>
    <t>DURABLE WATERBORNE MARKING-6 IN B</t>
  </si>
  <si>
    <t>WATER</t>
  </si>
  <si>
    <t>PERF PIPE HEADWALL TY 4-4 IN</t>
  </si>
  <si>
    <t>PIPE CULVERT HEADWALL-72 IN</t>
  </si>
  <si>
    <t>REMOVE CONCRETE MEDIAN</t>
  </si>
  <si>
    <t>PRECAST CONC BOX SECT</t>
  </si>
  <si>
    <t>REMOVE &amp; RESET GUARDRAIL</t>
  </si>
  <si>
    <t>DELINEATOR FOR GUARDRAIL M/W</t>
  </si>
  <si>
    <t>CLEAN</t>
  </si>
  <si>
    <t>NAVIGATION LIGHT 360 DEG GREEN</t>
  </si>
  <si>
    <t>EXPANSION DAM-4 IN NEOPRENE</t>
  </si>
  <si>
    <t>W TIE-IN 10 INCH</t>
  </si>
  <si>
    <t>GUARDRAIL TERMINAL SECTION NO 1</t>
  </si>
  <si>
    <t>PAVEMENT MARKER TYPE IV-B Y/R</t>
  </si>
  <si>
    <t>INSTALL LED BEACON-12 IN</t>
  </si>
  <si>
    <t>INLAID PAVEMENT MARKER</t>
  </si>
  <si>
    <t>DROP BOX INLET TYPE 11</t>
  </si>
  <si>
    <t>24738EC</t>
  </si>
  <si>
    <t>REDRILLING CAVITY STABILIZATION</t>
  </si>
  <si>
    <t>EC DUCT - 04 BANK CONCRETE ENCASED</t>
  </si>
  <si>
    <t>PAVE MARKING-THERMO COMB ARROW</t>
  </si>
  <si>
    <t>GUARDRAIL RADIUS ELEMENTS</t>
  </si>
  <si>
    <t>CURB BOX INLET TYPE F</t>
  </si>
  <si>
    <t>PIPE CULVERT HEADWALL-15 IN</t>
  </si>
  <si>
    <t>CULVERT PIPE-42 IN EQUIV</t>
  </si>
  <si>
    <t>REMOVE CONCRETE SIDEWALK</t>
  </si>
  <si>
    <t>REPLACE GRATE</t>
  </si>
  <si>
    <t>ISLAND HEADER CURB TYPE 1</t>
  </si>
  <si>
    <t>CLEAN SILT TRAP TYPE A</t>
  </si>
  <si>
    <t>CONC MEDIAN BARRIER TYPE 12C1 TL3</t>
  </si>
  <si>
    <t>SEDIMENTATION BASIN</t>
  </si>
  <si>
    <t>REMOVE DROP BOX INLET</t>
  </si>
  <si>
    <t>W TIE-IN 16 INCH</t>
  </si>
  <si>
    <t>PAVE STRIPING-THERMO-12 IN Y</t>
  </si>
  <si>
    <t>INSTALL</t>
  </si>
  <si>
    <t>DRILLED SHAFT-ROCK 48 IN</t>
  </si>
  <si>
    <t>EC DUCT - 02 BANK</t>
  </si>
  <si>
    <t>BOX CULVERT HEADWALL</t>
  </si>
  <si>
    <t>ENTRANCE PIPE-30 IN</t>
  </si>
  <si>
    <t>TIMBER LAGGING</t>
  </si>
  <si>
    <t>BASE MTD RWY THRESHOLD LIGHT</t>
  </si>
  <si>
    <t>21661ES706</t>
  </si>
  <si>
    <t>BORE AND JACK PIPE</t>
  </si>
  <si>
    <t>SAND FOR BLOTTER</t>
  </si>
  <si>
    <t>CULVERT PIPE-84 IN EQUIV</t>
  </si>
  <si>
    <t>22766ED</t>
  </si>
  <si>
    <t>TRENCH DRAIN</t>
  </si>
  <si>
    <t>S LATERAL LONG SIDE 04 INCH</t>
  </si>
  <si>
    <t>REM OVERHEAD SIGN SUPPORT STR</t>
  </si>
  <si>
    <t>PAVE MARKING-PAINT CROSS-HATCH</t>
  </si>
  <si>
    <t>INSTALL PEDESTRIAN DETECTOR</t>
  </si>
  <si>
    <t>24641EC</t>
  </si>
  <si>
    <t>DEMOLITION</t>
  </si>
  <si>
    <t>PIPE CULVERT HEADWALL-66 IN</t>
  </si>
  <si>
    <t>BORE AND JACK PIPE-36 IN</t>
  </si>
  <si>
    <t>SNOW FENCE</t>
  </si>
  <si>
    <t>22415EN</t>
  </si>
  <si>
    <t>CONCRETE-CLASS A FOR PAD</t>
  </si>
  <si>
    <t>24865EC</t>
  </si>
  <si>
    <t>PVC FOLD AND FORM PIPE LINER-36 IN</t>
  </si>
  <si>
    <t>REMOVE AND RESET PERF PIPE HEADWALL</t>
  </si>
  <si>
    <t>PIPE CULVERT HEADWALL-60 IN EQUIV</t>
  </si>
  <si>
    <t>ADJUST MANHOLE</t>
  </si>
  <si>
    <t>PAVE MARK TY 1 TAPE-CURV ARROW</t>
  </si>
  <si>
    <t>G PIPE SPECIAL</t>
  </si>
  <si>
    <t>PRECAST PC BOX BEAM B21-48</t>
  </si>
  <si>
    <t>MANHOLE TYPE B</t>
  </si>
  <si>
    <t>PVC PIPE-6 IN</t>
  </si>
  <si>
    <t>ELECTRICAL JUNCTION BOX TYPE C</t>
  </si>
  <si>
    <t>REMOVE STORE &amp; REINSTALL POLE</t>
  </si>
  <si>
    <t>W ENCASEMENT CONCRETE</t>
  </si>
  <si>
    <t>ASPHALT PRIME COAT</t>
  </si>
  <si>
    <t>CLEAN ROADWAY DRAINS</t>
  </si>
  <si>
    <t>W STRUCTURE REMOVAL</t>
  </si>
  <si>
    <t>PILE POINTS-14 IN</t>
  </si>
  <si>
    <t>PERF PIPE HEADWALL TY 2-4 IN</t>
  </si>
  <si>
    <t>WIRE-NO. 8</t>
  </si>
  <si>
    <t>ELECTRICAL CONDUIT</t>
  </si>
  <si>
    <t>WIRE-NO. 6</t>
  </si>
  <si>
    <t>REMOVE FENCE</t>
  </si>
  <si>
    <t>STORM SEWER PIPE-12 IN</t>
  </si>
  <si>
    <t>DROP BOX INLET TYPE 13S</t>
  </si>
  <si>
    <t>OBJECT MARKER TY 3</t>
  </si>
  <si>
    <t>ORNAMENTAL VEHICULAR GATE - CANTILEVER</t>
  </si>
  <si>
    <t>CLEAN SILT TRAP TYPE C</t>
  </si>
  <si>
    <t>REMOVE PAVED DITCH</t>
  </si>
  <si>
    <t>W PIPE PVC 08 INCH</t>
  </si>
  <si>
    <t>PAVEMENT MARKING REMOVAL</t>
  </si>
  <si>
    <t>DELINEATOR FOR BARRIER - YELLOW</t>
  </si>
  <si>
    <t>CURB BOX INLET TYPE A MOD</t>
  </si>
  <si>
    <t>METAL END SECTION TY 3-78 IN (EQUIV)</t>
  </si>
  <si>
    <t>PILES-STEEL HP14X73</t>
  </si>
  <si>
    <t>SAFETY BOX INLET-24 IN DBL SDB-5</t>
  </si>
  <si>
    <t>W SERV PE/PLST SHORT SIDE 3/4 IN</t>
  </si>
  <si>
    <t>WATERPROOFING MEMBRANE</t>
  </si>
  <si>
    <t>STEEL ENCASEMENT PIPE</t>
  </si>
  <si>
    <t>CULVERT PIPE-78 IN EQUIV</t>
  </si>
  <si>
    <t>23298EC</t>
  </si>
  <si>
    <t>SIGN BRIDGE ATTACHMENT BRACKET</t>
  </si>
  <si>
    <t>PAVE STRIPING-THERMO-4 IN Y</t>
  </si>
  <si>
    <t>23583EC</t>
  </si>
  <si>
    <t>DRILLED SHAFT-48 IN-COMMON</t>
  </si>
  <si>
    <t>CRASH CUSHION TY VI CLASS B TL3</t>
  </si>
  <si>
    <t>TRIM AND REMOVE TREES AND BRUSH</t>
  </si>
  <si>
    <t>STORM SEWER PIPE-60 IN</t>
  </si>
  <si>
    <t>W METER 3/4 INCH</t>
  </si>
  <si>
    <t>SHOULDERING</t>
  </si>
  <si>
    <t>PAVEMENT MARKER TYPE IV-MY</t>
  </si>
  <si>
    <t>23775EC</t>
  </si>
  <si>
    <t>S ENCASEMENT STEEL OPEN CUT RANGE 4</t>
  </si>
  <si>
    <t>24261EC</t>
  </si>
  <si>
    <t>ISLAND CURB AND GUTTER(MODIFIED)</t>
  </si>
  <si>
    <t>CONDUIT-1 IN</t>
  </si>
  <si>
    <t>METAL END SECTION TY 3-15 IN</t>
  </si>
  <si>
    <t>FLUME INLET TYPE 1 MOD</t>
  </si>
  <si>
    <t>21935EN</t>
  </si>
  <si>
    <t>REMOVE CONC MEDIAN BARRIER</t>
  </si>
  <si>
    <t>S CIPP LINER 36 INCH</t>
  </si>
  <si>
    <t>PRECAST PC BOX BEAM CB17-36</t>
  </si>
  <si>
    <t>SETTLEMENT PLATFORM</t>
  </si>
  <si>
    <t>DECK DRAIN RETROFIT</t>
  </si>
  <si>
    <t>TUBULAR MARKERS</t>
  </si>
  <si>
    <t>W TIE-IN 24 INCH</t>
  </si>
  <si>
    <t>PLUG PIPE</t>
  </si>
  <si>
    <t>PAVEMENT MARKING-WHITE PAINT</t>
  </si>
  <si>
    <t>MOUNTABLE MEDIAN TYPE 1 MOD</t>
  </si>
  <si>
    <t>METAL END SECTION TY 3-24 IN</t>
  </si>
  <si>
    <t>PAVE MARKING-THERMO YIELD BAR-36 IN</t>
  </si>
  <si>
    <t>W VALVE SPECIAL</t>
  </si>
  <si>
    <t>EXCAVATION</t>
  </si>
  <si>
    <t>FLUME INLET TYPE 1</t>
  </si>
  <si>
    <t>25099ED</t>
  </si>
  <si>
    <t>DEEP BEAM BRIDGE GUARDRAIL</t>
  </si>
  <si>
    <t>PAVE STRIPING-WB PAINT-12 IN W</t>
  </si>
  <si>
    <t>GUARDRAIL END TREATMENT TYPE 3</t>
  </si>
  <si>
    <t>W PIPE PVC 02 INCH</t>
  </si>
  <si>
    <t>RAIL SYSTEM TYPE T631</t>
  </si>
  <si>
    <t>RELOCATE CONC BARRIER WALL</t>
  </si>
  <si>
    <t>STRUCTURE DEMOLITION</t>
  </si>
  <si>
    <t>PAVE MARK THERMO-LANE REDUCTION ARROW</t>
  </si>
  <si>
    <t>METAL END SECTION TY 3-18 IN</t>
  </si>
  <si>
    <t>23206EC</t>
  </si>
  <si>
    <t>INSTALL CONTROLLER CABINET</t>
  </si>
  <si>
    <t>CLEAN TEMP SILT FENCE</t>
  </si>
  <si>
    <t>PAVE STRIPING-THERMO-4 IN W</t>
  </si>
  <si>
    <t>PRECAST CONC BRIDGE RAIL BLOCK</t>
  </si>
  <si>
    <t>ASPHALT WEDGE CURB</t>
  </si>
  <si>
    <t>FITTINGS</t>
  </si>
  <si>
    <t>MECHANICAL REINF COUPLER #5 EPOXY COATED</t>
  </si>
  <si>
    <t>INSTALL LED SIGNAL- 4 SECTION</t>
  </si>
  <si>
    <t>23188EC</t>
  </si>
  <si>
    <t>STAMPED CONCRETE-10 IN</t>
  </si>
  <si>
    <t>REMOVE SIGN SUPPORT BEAM</t>
  </si>
  <si>
    <t>HIGH SLUMP 3000 PSI GROUT</t>
  </si>
  <si>
    <t>FENCE-6 FT CHAIN LINK</t>
  </si>
  <si>
    <t>ASPHALT MILLING AND TEXTURING</t>
  </si>
  <si>
    <t>W VALVE 03 INCH</t>
  </si>
  <si>
    <t>METAL END SECTION TY 3-36 IN</t>
  </si>
  <si>
    <t>S MANHOLE TAP EXISTING</t>
  </si>
  <si>
    <t>STORM SEWER PIPE-30 IN EQUIV</t>
  </si>
  <si>
    <t>JOINT CLEAN &amp; RESEAL</t>
  </si>
  <si>
    <t>JUNCTION BOX-36 IN</t>
  </si>
  <si>
    <t>SELECT ROCK FILL EMBANKMENT</t>
  </si>
  <si>
    <t>W TIE-IN 03 INCH</t>
  </si>
  <si>
    <t>STANDARD BARRIER MEDIAN TYPE 4</t>
  </si>
  <si>
    <t>PAVE MARKING-THERMO MERGE ARROW</t>
  </si>
  <si>
    <t>OSS GALV STEEL CANTILEVER</t>
  </si>
  <si>
    <t>DELINEATOR FOR BARRIER WALL-B/Y</t>
  </si>
  <si>
    <t>25022ED</t>
  </si>
  <si>
    <t>RAIL SYSTEM TYPE II MOD</t>
  </si>
  <si>
    <t>21430ES508</t>
  </si>
  <si>
    <t>CONC MEDIAN BARRIER TYPE 12C(50)</t>
  </si>
  <si>
    <t>GUARDRAIL-BRIDGE CASE II</t>
  </si>
  <si>
    <t>REMOVE-STORE AND REINSTALL SIGN</t>
  </si>
  <si>
    <t>CONC MEDIAN BARRIER TY 9T</t>
  </si>
  <si>
    <t>REIL SYSTEM</t>
  </si>
  <si>
    <t>SECURITY PLATE ASSEMBLY</t>
  </si>
  <si>
    <t>MESSENGER-10800 LB</t>
  </si>
  <si>
    <t>GUARDRAIL-BRIDGE CASE I</t>
  </si>
  <si>
    <t>JUNCTION BOX-24 IN</t>
  </si>
  <si>
    <t>SLOPED BOX OUTLET TYPE 1-15 IN</t>
  </si>
  <si>
    <t>FLUME INLET TY 2-MOD</t>
  </si>
  <si>
    <t>RECONSTRUCT INLET</t>
  </si>
  <si>
    <t>SLOPED BOX INLET-OUTLET TYPE 1</t>
  </si>
  <si>
    <t>SINUSOIDAL RUMBLE STRIPS</t>
  </si>
  <si>
    <t>21066ND</t>
  </si>
  <si>
    <t>MODEL 336 ENCLOSURE</t>
  </si>
  <si>
    <t>DRAINAGE JUNCTION BOX TY B</t>
  </si>
  <si>
    <t>CULVERT PIPE-18 IN EQUIV</t>
  </si>
  <si>
    <t>INSTALL SPAN MOUNTED SIGN</t>
  </si>
  <si>
    <t>SIDEWALK-4 1/2 INCH CONCRETE</t>
  </si>
  <si>
    <t>PAVE MARKING-R/R XBUCKS 16 IN</t>
  </si>
  <si>
    <t>S FORCE MAIN TIE-IN 06 INCH</t>
  </si>
  <si>
    <t>W PIPE DUCTILE IRON 10 INCH</t>
  </si>
  <si>
    <t>AWG 5KV CABLE NO.8-INSTALLED</t>
  </si>
  <si>
    <t>REPLACE ARMORED EDGE</t>
  </si>
  <si>
    <t>ROCK SOUNDINGS</t>
  </si>
  <si>
    <t>PAVE MARKING-THERMO STR ARROW</t>
  </si>
  <si>
    <t>24737EC</t>
  </si>
  <si>
    <t>CAVITY STABILIZATION</t>
  </si>
  <si>
    <t>CLEAN SINKHOLE</t>
  </si>
  <si>
    <t>REMOVE CURB</t>
  </si>
  <si>
    <t>W SERV PE/PLST LONG SIDE 3/4 IN INST</t>
  </si>
  <si>
    <t>METAL END SECTION TY 3-42 IN</t>
  </si>
  <si>
    <t>RUMBLE STRIPS TYPE 3</t>
  </si>
  <si>
    <t>22856EN</t>
  </si>
  <si>
    <t>PAVE STRIPE PERM-12 IN HD21-WHITE</t>
  </si>
  <si>
    <t>STANDARD BARRIER MEDIAN TYPE 3</t>
  </si>
  <si>
    <t>THERMO RUMBLE STRIPS TY 2</t>
  </si>
  <si>
    <t>23835EC</t>
  </si>
  <si>
    <t>STANDARD BARRIER MEDIAN TY 5-MOD</t>
  </si>
  <si>
    <t>AWG COUNTERPOISE AND TRENC NO.6</t>
  </si>
  <si>
    <t>DELINEATOR FOR BARRIER - WHITE</t>
  </si>
  <si>
    <t>JPC PAVEMENT DRAINAGE BLANKET</t>
  </si>
  <si>
    <t>S MANHOLE ADJUST TO GRADE</t>
  </si>
  <si>
    <t>DROP BOX INLET TYPE 4</t>
  </si>
  <si>
    <t>W VALVE 10 INCH</t>
  </si>
  <si>
    <t>METAL END SECTION TY 1-15 IN</t>
  </si>
  <si>
    <t>ENTRANCE PIPE-36 IN</t>
  </si>
  <si>
    <t>W BLOWOFF ASSEMBLY</t>
  </si>
  <si>
    <t>MANHOLE TYPE C MOD</t>
  </si>
  <si>
    <t>BRIDGE CHAIN LINK FENCE-6 FT</t>
  </si>
  <si>
    <t>S SPECIAL ITEM</t>
  </si>
  <si>
    <t>20544NC</t>
  </si>
  <si>
    <t>JACK AND SUPPORT BEAM ENDS</t>
  </si>
  <si>
    <t>SEGMENTED CIRCLE-INSTALLED</t>
  </si>
  <si>
    <t>PAPI SYSTEM</t>
  </si>
  <si>
    <t>METAL END SECTION TY 3-30 IN</t>
  </si>
  <si>
    <t>23033EN</t>
  </si>
  <si>
    <t>BRIDGE BARRIER REMOVAL</t>
  </si>
  <si>
    <t>W FLUSH HYDRANT ASSEMBLY</t>
  </si>
  <si>
    <t>INSTALL PEDESTAL POST</t>
  </si>
  <si>
    <t>W FLUSHING ASSEMBLY</t>
  </si>
  <si>
    <t>23804EC</t>
  </si>
  <si>
    <t>CONC MED BARRIER BOX INLET-TY 12A1</t>
  </si>
  <si>
    <t>23976EC</t>
  </si>
  <si>
    <t>CONC MED BARR BOX INLET TY 12A2-50(MOD)</t>
  </si>
  <si>
    <t>REMOVE INLET</t>
  </si>
  <si>
    <t>PAVE MARK TY 1 TAPE-COMBO ARROW</t>
  </si>
  <si>
    <t>BRACKET 10 FT</t>
  </si>
  <si>
    <t>W AIR RELEASE VALVE 1 INCH</t>
  </si>
  <si>
    <t>24525EC</t>
  </si>
  <si>
    <t>ADVANCE WARNING FLASHER</t>
  </si>
  <si>
    <t>G SERVICE SPECIAL</t>
  </si>
  <si>
    <t>VALLEY GUTTER</t>
  </si>
  <si>
    <t>CL3 ASPH SURF 0.38B PG76-22</t>
  </si>
  <si>
    <t>SLOTTED DRAIN PIPE-12 IN</t>
  </si>
  <si>
    <t>23086EN</t>
  </si>
  <si>
    <t>CONCRETE MEDIAN BARRIER TY 9C</t>
  </si>
  <si>
    <t>GUARDRAIL CONNECTOR TO BRIDGE END TY D</t>
  </si>
  <si>
    <t>S FORCE MAIN PE/PLASTIC 02 INCH</t>
  </si>
  <si>
    <t>CONC MED BARR BOX INLET TY 14A2</t>
  </si>
  <si>
    <t>JPC PAVEMENT-8 IN SHLD</t>
  </si>
  <si>
    <t>26130ED</t>
  </si>
  <si>
    <t>SLOPED AND MITERED HEADWALL-15 IN</t>
  </si>
  <si>
    <t>ADJUST MANHOLE FRAME TO GRADE</t>
  </si>
  <si>
    <t>26133ED</t>
  </si>
  <si>
    <t>SLOPED AND MITERED HEADWALL-30 IN</t>
  </si>
  <si>
    <t>W FIRE HYDRANT ASSEMBLY INST</t>
  </si>
  <si>
    <t>LONGITUDINAL SAW CUT</t>
  </si>
  <si>
    <t>WIRE-NO. 10</t>
  </si>
  <si>
    <t>CULVERT PIPE-54 IN EQUIV</t>
  </si>
  <si>
    <t>W ENCASEMENT STEEL OPEN CUT RANGE 2</t>
  </si>
  <si>
    <t>BRACKET C</t>
  </si>
  <si>
    <t>G WELD X-RAY INSPECTION UNDER 6 INCH</t>
  </si>
  <si>
    <t>CABLE TRENCHING</t>
  </si>
  <si>
    <t>PAVE MARKING-PAINT PARKING LOT</t>
  </si>
  <si>
    <t>BRACKET 8 FT</t>
  </si>
  <si>
    <t>JUNCTION BOX-18 IN</t>
  </si>
  <si>
    <t>W VALVE CUT-IN 06 INCH</t>
  </si>
  <si>
    <t>STEEL POST MILE MARKERS</t>
  </si>
  <si>
    <t>24617EC</t>
  </si>
  <si>
    <t>S LATERAL SHORT SIDE 06 INCH</t>
  </si>
  <si>
    <t>METAL END SECTION TY 4-42 IN (EQUIV)</t>
  </si>
  <si>
    <t>CLEAN BRIDGE DRAINS</t>
  </si>
  <si>
    <t>PAVE MARKING-THERMO STOP</t>
  </si>
  <si>
    <t>MARKER</t>
  </si>
  <si>
    <t>ADJUST WATER VALVE</t>
  </si>
  <si>
    <t>BASE MTD TAXIWAY EDGE LIGHT</t>
  </si>
  <si>
    <t>PAVE MARKING-THERMO R 6 FT</t>
  </si>
  <si>
    <t>21058ND</t>
  </si>
  <si>
    <t>WINCH LOWERING TOOL</t>
  </si>
  <si>
    <t>PERF PIPE HEADWALL TY 1-8 IN</t>
  </si>
  <si>
    <t>DRAIN POND</t>
  </si>
  <si>
    <t>JUNCTION BOX-30 IN</t>
  </si>
  <si>
    <t>23085EN</t>
  </si>
  <si>
    <t>RAIL SYSTEM TYPE 10</t>
  </si>
  <si>
    <t>PAVE MARK THERMO-6 IN W CAT TRAXX</t>
  </si>
  <si>
    <t>CSL TESTING (8 TUBES)</t>
  </si>
  <si>
    <t>ENTRANCE PIPE-12 IN</t>
  </si>
  <si>
    <t>W FIRE HYDRANT REMOVE</t>
  </si>
  <si>
    <t>INSTALL GUARDRAIL-STEEL W BM-S FACE</t>
  </si>
  <si>
    <t>S FORCE MAIN PVC 04 INCH</t>
  </si>
  <si>
    <t>BEARING LUBRICATION</t>
  </si>
  <si>
    <t>REMOVE &amp; REPLACE FENCE</t>
  </si>
  <si>
    <t>CRUSHED AGGREGATE SIZE NO 4</t>
  </si>
  <si>
    <t>PAVEMENT SURFACE PREPARATION</t>
  </si>
  <si>
    <t>DITCH EXCAVATION</t>
  </si>
  <si>
    <t>23623EC</t>
  </si>
  <si>
    <t>REMOVE MOUNTABLE MEDIAN</t>
  </si>
  <si>
    <t>MOUNTABLE MEDIAN TYPE 4</t>
  </si>
  <si>
    <t>REMOVE CURB &amp; GUTTER BOX INLET</t>
  </si>
  <si>
    <t>S FORCE MAIN POINT RELOCATE</t>
  </si>
  <si>
    <t>GUARDRAIL CONNECTOR TO CONC MED BARR</t>
  </si>
  <si>
    <t>CONCRETE-CLASS M 2</t>
  </si>
  <si>
    <t>PAVEMENT MARKING-THERMO LETTERS</t>
  </si>
  <si>
    <t>EC ELECTRIC PIT</t>
  </si>
  <si>
    <t>CONCRETE ISLAND</t>
  </si>
  <si>
    <t>24432EC</t>
  </si>
  <si>
    <t>TEMP WORKSITE SPEED LIMIT SIGN ASSEMBLY</t>
  </si>
  <si>
    <t>PLUG WATER WELL</t>
  </si>
  <si>
    <t>23402EC</t>
  </si>
  <si>
    <t>SEGMENTAL RETAINING WALL</t>
  </si>
  <si>
    <t>WIND CONE L-807-12 FT-INSTALLED</t>
  </si>
  <si>
    <t>CULVERT PIPE-24 IN EQUIV</t>
  </si>
  <si>
    <t>ADJUST INLET</t>
  </si>
  <si>
    <t>W PRESSURE REDUCING VALVE 08 INCH</t>
  </si>
  <si>
    <t>METAL END SECTION TY 3-54 IN</t>
  </si>
  <si>
    <t>COUNTERPOISE TRENCH</t>
  </si>
  <si>
    <t>26134ED</t>
  </si>
  <si>
    <t>SLOPED AND MITERED HEADWALL-36 IN</t>
  </si>
  <si>
    <t>PAVE MARK TY 1 TAPE -ONLY</t>
  </si>
  <si>
    <t>W CAP EXISTING MAIN INST</t>
  </si>
  <si>
    <t>REMOVE TRAFFIC ISLAND</t>
  </si>
  <si>
    <t>CABLE-NO. 6/3C DUCTED</t>
  </si>
  <si>
    <t>25067EC</t>
  </si>
  <si>
    <t>PAVE STRIPING-THERMO POLYMER MOD-6 IN W</t>
  </si>
  <si>
    <t>POLE 40 FT WOODEN</t>
  </si>
  <si>
    <t>S DISINFECT BYPASS &amp; REPORT INCIDENT</t>
  </si>
  <si>
    <t>24252EC</t>
  </si>
  <si>
    <t>JUNCTION BOX-66 IN</t>
  </si>
  <si>
    <t>24978ED</t>
  </si>
  <si>
    <t>RECONSTRUCT STONE MASONRY WALL</t>
  </si>
  <si>
    <t>SAFETY BOX INLET-24 IN SDB-1</t>
  </si>
  <si>
    <t>BORE AND JACK PIPE-30 IN</t>
  </si>
  <si>
    <t>20275EC</t>
  </si>
  <si>
    <t>VIDEO DETECTION-INSTALL</t>
  </si>
  <si>
    <t>R/W &amp; T/W PAINT-BLACK</t>
  </si>
  <si>
    <t>21383ES508</t>
  </si>
  <si>
    <t>CONC MEDIAN BARRIER TYPE 14C2(50)</t>
  </si>
  <si>
    <t>ASPHALT LEVELING AND WEDGING</t>
  </si>
  <si>
    <t>WIRE-NO. 12</t>
  </si>
  <si>
    <t>AIRCRAFT TIEDOWN ANCHOR</t>
  </si>
  <si>
    <t>TRUCK MOUNTED ATTENUATOR</t>
  </si>
  <si>
    <t>W SERV COPPER LONG SIDE 1-1/2 IN</t>
  </si>
  <si>
    <t>GAS UTILITY COORDINATION</t>
  </si>
  <si>
    <t>23814EC</t>
  </si>
  <si>
    <t>REMOVE EXISTING DECK</t>
  </si>
  <si>
    <t>ELEC DUCT BANK</t>
  </si>
  <si>
    <t>PIPE LINER ACCEPTANCE TESTING</t>
  </si>
  <si>
    <t>R/W MONUMENT TYPE 3</t>
  </si>
  <si>
    <t>CULVERT PIPE-30 IN EQUIV</t>
  </si>
  <si>
    <t>ORNAMENTAL PEDESTRIAN GATE - ELECTRICAL</t>
  </si>
  <si>
    <t>JUNCTION BOX-54 IN</t>
  </si>
  <si>
    <t>STEEL PIPE-4 IN</t>
  </si>
  <si>
    <t>W VALVE 16 INCH</t>
  </si>
  <si>
    <t>REMOVE STORE &amp; REINSTALL</t>
  </si>
  <si>
    <t>STORM SEWER PIPE-24 IN EQUIV</t>
  </si>
  <si>
    <t>PAVE MARKING-DOTTED LANE EXTEN</t>
  </si>
  <si>
    <t>PAVE MARKING-THERMO STOP BAR-12IN</t>
  </si>
  <si>
    <t>G TIE-IN SPECIAL</t>
  </si>
  <si>
    <t>21321NC</t>
  </si>
  <si>
    <t>CSL TESTING (4 TUBES)</t>
  </si>
  <si>
    <t>24743EC</t>
  </si>
  <si>
    <t>TIP TESTING (4 TUBES)</t>
  </si>
  <si>
    <t>W TIE-IN 04 INCH</t>
  </si>
  <si>
    <t>DROP BOX INLET TYPE 5A</t>
  </si>
  <si>
    <t>CAP DROP BOX INLET</t>
  </si>
  <si>
    <t>22403NN</t>
  </si>
  <si>
    <t>WEB CAMERA ASSEMBLY</t>
  </si>
  <si>
    <t>REMOVABLE BOLLARD</t>
  </si>
  <si>
    <t>WIRE-NO. 4</t>
  </si>
  <si>
    <t>S LATERAL SHORT SIDE 04 INCH</t>
  </si>
  <si>
    <t>GEOGRID REINFORCEMENT</t>
  </si>
  <si>
    <t>LONGITUDINAL SAW CUT- 6 IN</t>
  </si>
  <si>
    <t>NON-PERFORATED PIPE-8 IN</t>
  </si>
  <si>
    <t>SPRING BOX INLET TYPE A</t>
  </si>
  <si>
    <t>SPRING BOX INLET TYPE B</t>
  </si>
  <si>
    <t>20060ES719</t>
  </si>
  <si>
    <t>GUARDRAIL STEEL W BEAM-S FACE CR</t>
  </si>
  <si>
    <t>W ENCASEMENT STEEL OPEN CUT RANGE 1</t>
  </si>
  <si>
    <t>FENCE-WOVEN WIRE TYPE 2</t>
  </si>
  <si>
    <t>CULVERT PIPE-12 IN</t>
  </si>
  <si>
    <t>21587EN</t>
  </si>
  <si>
    <t>REINFORCED SOIL SLOPE</t>
  </si>
  <si>
    <t>OBJECT MARKER TYPE 2</t>
  </si>
  <si>
    <t>DROP BOX INLET TYPE 5E</t>
  </si>
  <si>
    <t>REMOVE REINF CONCRETE</t>
  </si>
  <si>
    <t>24187EC</t>
  </si>
  <si>
    <t>LOW PROFILE BARRICADE(LIGHTED)</t>
  </si>
  <si>
    <t>W METER WITH PRV 3/4 INCH</t>
  </si>
  <si>
    <t>LIP HEADER CURB MOD</t>
  </si>
  <si>
    <t>MECHANICAL REINF COUPLER #5</t>
  </si>
  <si>
    <t>DELINEATOR FOR GUARDRAIL M/Y</t>
  </si>
  <si>
    <t>PROJECT CPM SCHEDULE</t>
  </si>
  <si>
    <t>JUNCTION BOX-15 IN</t>
  </si>
  <si>
    <t>W METER 2 INCH</t>
  </si>
  <si>
    <t>DROP BOX INLET TY 13G(MOD)</t>
  </si>
  <si>
    <t>23626EC</t>
  </si>
  <si>
    <t>DETENTION BASIN</t>
  </si>
  <si>
    <t>24874EC</t>
  </si>
  <si>
    <t>TIP TESTING</t>
  </si>
  <si>
    <t>DRAINAGE GEOCOMPOSITE</t>
  </si>
  <si>
    <t>INSTALL MAST ARM MOUNTED SIGN</t>
  </si>
  <si>
    <t>CHANNEL LINING CLASS III-MOD</t>
  </si>
  <si>
    <t>PIPE CULVERT HEADWALL-42 IN EQUIV</t>
  </si>
  <si>
    <t>24375EC</t>
  </si>
  <si>
    <t>STRUCTURE EXCAVATION-SPECIAL SOLID ROCK</t>
  </si>
  <si>
    <t>W BLOWOFF ASSEMBLY INST</t>
  </si>
  <si>
    <t>TRAINEE PAYMENT REIMBURSEMENT</t>
  </si>
  <si>
    <t>W ENCASEMENT STEEL OPEN CUT RANGE 2 INST</t>
  </si>
  <si>
    <t>PAVE STRIPING-PERM PAINT-12 IN</t>
  </si>
  <si>
    <t>W LEAK DETECTION METER</t>
  </si>
  <si>
    <t>RELOCATE SIGNAL HEAD</t>
  </si>
  <si>
    <t>CONC MED BARR BOX INLET TY 12B1</t>
  </si>
  <si>
    <t>WATER GATE TYPE 3</t>
  </si>
  <si>
    <t>OBJECT MARKER TYPE 4</t>
  </si>
  <si>
    <t>W METER SPECIAL</t>
  </si>
  <si>
    <t>23972EC</t>
  </si>
  <si>
    <t>GRADE AND RECOMPACT SHOULDER</t>
  </si>
  <si>
    <t>24425EC</t>
  </si>
  <si>
    <t>S LATERAL SPECIAL</t>
  </si>
  <si>
    <t>S MANHOLE WITH DROP</t>
  </si>
  <si>
    <t>REMOVE</t>
  </si>
  <si>
    <t>JUNCTION BOX-60 IN</t>
  </si>
  <si>
    <t>SEEDING AND MULCHING</t>
  </si>
  <si>
    <t>FILL AND CAP SINKHOLE</t>
  </si>
  <si>
    <t>INSTALL-BEACON CONTROLLER-2 CIRCUIT</t>
  </si>
  <si>
    <t>2 UNIT L-867D PULLCAN PLAZA</t>
  </si>
  <si>
    <t>VIBRATING WIRE PIEZOMETER</t>
  </si>
  <si>
    <t>STEEL PIPE-2 1/2 IN</t>
  </si>
  <si>
    <t>S FORCE MAIN AIR RLS/VAC VLV 04 IN</t>
  </si>
  <si>
    <t>S FORCE MAIN TIE-IN 04 INCH</t>
  </si>
  <si>
    <t>INSTALL LED SIGNAL-5 SECTION</t>
  </si>
  <si>
    <t>PVC CONDUIT-2 IN-SCHEDULE 40</t>
  </si>
  <si>
    <t>PAVEMENT MARKER TY IVA-MY TEMP</t>
  </si>
  <si>
    <t>W FLUSH HYDRANT ASSEMBLY INST</t>
  </si>
  <si>
    <t>23300ED</t>
  </si>
  <si>
    <t>CRUSHED STONE</t>
  </si>
  <si>
    <t>BEARING PADS</t>
  </si>
  <si>
    <t>W VALVE ANCHOR EXISTING</t>
  </si>
  <si>
    <t>PERF PIPE HEADWALL TY 4-6 IN</t>
  </si>
  <si>
    <t>CURB BOX INLET TYPE A  T</t>
  </si>
  <si>
    <t>MOUNTABLE MEDIAN TYPE 6A</t>
  </si>
  <si>
    <t>FRAME AND LID TY 1</t>
  </si>
  <si>
    <t>W SERV COPPER LONG SIDE 2 IN</t>
  </si>
  <si>
    <t>21079ND</t>
  </si>
  <si>
    <t>TRANSFORMER 480/120</t>
  </si>
  <si>
    <t>21489ND</t>
  </si>
  <si>
    <t>RACK MOUNTED UPS</t>
  </si>
  <si>
    <t>23944EC</t>
  </si>
  <si>
    <t>ADVANCED GROUNDING SYSTEM</t>
  </si>
  <si>
    <t>INSTALL LUMINAIRE POLE</t>
  </si>
  <si>
    <t>23890EC</t>
  </si>
  <si>
    <t>LINEAR DELINEATION PANELS-1.5 IN W</t>
  </si>
  <si>
    <t>22938ND</t>
  </si>
  <si>
    <t>SAFETY BOX INLET-15 IN</t>
  </si>
  <si>
    <t>S ENCASEMENT CONCRETE</t>
  </si>
  <si>
    <t>REMOVE INTEGRAL CURB</t>
  </si>
  <si>
    <t>24691ED</t>
  </si>
  <si>
    <t>FLOATING TURBIDITY CURTAIN</t>
  </si>
  <si>
    <t>BARRIER HEADER CURB</t>
  </si>
  <si>
    <t>PAVE MARK-THERMO-24 IN Y</t>
  </si>
  <si>
    <t>25068EC</t>
  </si>
  <si>
    <t>PAVE STRIPING-THERMO POLYMER MOD-6 IN Y</t>
  </si>
  <si>
    <t>26161EC</t>
  </si>
  <si>
    <t>INT FDN IMPROVEMENT VERIFICATION TESTING</t>
  </si>
  <si>
    <t>W SERV COPPER LONG SIDE 1 IN</t>
  </si>
  <si>
    <t>21322NC</t>
  </si>
  <si>
    <t>CSL TESTING (6 TUBES)</t>
  </si>
  <si>
    <t>21583NN</t>
  </si>
  <si>
    <t>MODIFY EXISTING DRAINAGE BOX</t>
  </si>
  <si>
    <t>PREFORMED LOOP/LEAD-IN</t>
  </si>
  <si>
    <t>24457EC</t>
  </si>
  <si>
    <t>REMOVE CONCRETE MEDIAN BARRIER END</t>
  </si>
  <si>
    <t>FENCE-4 FT CHAIN LINK</t>
  </si>
  <si>
    <t>GUARDRAIL CONNECTOR TO BRIDGE END TY C</t>
  </si>
  <si>
    <t>W TIE-IN 02 INCH</t>
  </si>
  <si>
    <t>G MAIN POINT RELOCATE</t>
  </si>
  <si>
    <t>W LINE MARKER</t>
  </si>
  <si>
    <t>SLOPED AND PARALLEL HEADWALL-12 IN</t>
  </si>
  <si>
    <t>JUNCTION BOX-42 IN</t>
  </si>
  <si>
    <t>ROUNDABOUT ARROW</t>
  </si>
  <si>
    <t>NON-ENC ELEC COND-1W-2-IN C- 18-IN CVER</t>
  </si>
  <si>
    <t>23152NN</t>
  </si>
  <si>
    <t>METAL END SECTION TY 1-30 IN (EQUIV)</t>
  </si>
  <si>
    <t>PERF PIPE HEADWALL TY 4-8 IN</t>
  </si>
  <si>
    <t>22854EN</t>
  </si>
  <si>
    <t>PAVE STRIPE PERM-6 IN HD21-WHITE</t>
  </si>
  <si>
    <t>BRACKET 15 FT</t>
  </si>
  <si>
    <t>METAL END SECTION TY 1-18 IN</t>
  </si>
  <si>
    <t>W VALVE CUT-IN 04 INCH</t>
  </si>
  <si>
    <t>BRACKET 4 FT</t>
  </si>
  <si>
    <t>PAVEMENT MARKER TYPE V-B W/R</t>
  </si>
  <si>
    <t>JUNCTION STRUCTURE L-867B CLASS1</t>
  </si>
  <si>
    <t>RIGHT-OF-WAY MONUMENT TYPE 1A</t>
  </si>
  <si>
    <t>EMULSIFIED ASPHALT RS-2</t>
  </si>
  <si>
    <t>DROP BOX INLET TYPE 6F</t>
  </si>
  <si>
    <t>RADAR PRESENCE DETECTOR TYPE A</t>
  </si>
  <si>
    <t>20756ED</t>
  </si>
  <si>
    <t>RESHAPE MEDIAN</t>
  </si>
  <si>
    <t>W SERV PE/PLST SHORT SIDE 3/4 IN INST</t>
  </si>
  <si>
    <t>ROADWAY EXCAVATION-SPECIAL</t>
  </si>
  <si>
    <t>METAL END SECTION TY 1-30 IN</t>
  </si>
  <si>
    <t>R/W &amp; T/W PAINT-YELLOW WATERBORNE</t>
  </si>
  <si>
    <t>S LATERAL LOCATE</t>
  </si>
  <si>
    <t>W VALVE 04 INCH</t>
  </si>
  <si>
    <t>PAVEMENT MARKER TY IVA-MW TEMP</t>
  </si>
  <si>
    <t>CORED HOLE DRAINAGE BOX CON</t>
  </si>
  <si>
    <t>S LATERAL CLEANOUT</t>
  </si>
  <si>
    <t>24605ED</t>
  </si>
  <si>
    <t>RELOCATE</t>
  </si>
  <si>
    <t>MANHOLE TYPE B MOD</t>
  </si>
  <si>
    <t>S ENCASEMENT STEEL OPEN CUT RANGE 2</t>
  </si>
  <si>
    <t>S HAUL SEWAGE TO TREATMENT PLANT</t>
  </si>
  <si>
    <t>20521NS719</t>
  </si>
  <si>
    <t>REMOVE BRIDGE END CONNECTOR</t>
  </si>
  <si>
    <t>23624EC</t>
  </si>
  <si>
    <t>REMOVE AND RESET CRASH CUSHION</t>
  </si>
  <si>
    <t>W PIPE PVC 08 INCH INST</t>
  </si>
  <si>
    <t>SIGNAL PEDESTAL</t>
  </si>
  <si>
    <t>NON-PERFORATED PIPE-6 IN</t>
  </si>
  <si>
    <t>REMOVE CRASH CUSHION</t>
  </si>
  <si>
    <t>JPC PAVEMENT-6 IN</t>
  </si>
  <si>
    <t>REM &amp; RESET VEHICLE STOPS</t>
  </si>
  <si>
    <t>AGGREGATE SIZE NO. 57</t>
  </si>
  <si>
    <t>PAVE MARK TEMP PAINT STOP BAR</t>
  </si>
  <si>
    <t>MECHANICAL REINF COUPLER #8</t>
  </si>
  <si>
    <t>W METER REMOVE</t>
  </si>
  <si>
    <t>CAP CURB BOX INLET</t>
  </si>
  <si>
    <t>CULVERT PIPE-36 IN EQUIV</t>
  </si>
  <si>
    <t>W SERV COPPER SHORT SIDE 2 IN</t>
  </si>
  <si>
    <t>24542EC</t>
  </si>
  <si>
    <t>BASE MTD SIZE 1- 3-MOD L-858L SIGN</t>
  </si>
  <si>
    <t>W AIR RELEASE VALVE SPECIAL INST</t>
  </si>
  <si>
    <t>MECHANICAL REINF COUPLER-#8 EPOXY COATED</t>
  </si>
  <si>
    <t>W AIR RELEASE VALVE SPECIAL</t>
  </si>
  <si>
    <t>ENTRANCE PIPE-30 IN EQUIV</t>
  </si>
  <si>
    <t>ANCHOR</t>
  </si>
  <si>
    <t>PAVEMENT MILLING</t>
  </si>
  <si>
    <t>PAVE STRIPING-DUR TY 1-4 IN Y</t>
  </si>
  <si>
    <t>W REMOVE TRANSITE (AC) PIPE</t>
  </si>
  <si>
    <t>CENTERLINE RUMBLE STRIPS-12 IN</t>
  </si>
  <si>
    <t>PRECAST VEHICLE STOP</t>
  </si>
  <si>
    <t>YIELD LINES</t>
  </si>
  <si>
    <t>PAVE MARK HANDICAP SYMBOL</t>
  </si>
  <si>
    <t>DROP BOX INLET TYPE 11 MOD</t>
  </si>
  <si>
    <t>SIDEWALK RAMP TYPE 2</t>
  </si>
  <si>
    <t>REPAIR CONCRETE HANDRAIL</t>
  </si>
  <si>
    <t>S STRUCTURE ABANDON</t>
  </si>
  <si>
    <t>REMOVE &amp; RESET LIGHT POLE</t>
  </si>
  <si>
    <t>PAVE MARKING-THERMO U-TURN</t>
  </si>
  <si>
    <t>REMOVE POLE BASE</t>
  </si>
  <si>
    <t>PREFORMED QUADRAPOLE LOOPS</t>
  </si>
  <si>
    <t>22631NN</t>
  </si>
  <si>
    <t>INSTALL MAST ARM POLE</t>
  </si>
  <si>
    <t>ENTRANCE PIPE-18 IN EQUIV</t>
  </si>
  <si>
    <t>S MANHOLE CASTING STANDARD</t>
  </si>
  <si>
    <t>W VALVE CUT-IN 08 INCH</t>
  </si>
  <si>
    <t>BARRIER WALL POST</t>
  </si>
  <si>
    <t>PAVEMENT MARKER TYPE V-B Y/R</t>
  </si>
  <si>
    <t>CEM CONC ENT PAVEMENT-6 IN</t>
  </si>
  <si>
    <t>REMOVE THERMOPLASTIC ARROWS</t>
  </si>
  <si>
    <t>MANHOLE TYPE A MOD</t>
  </si>
  <si>
    <t>PREFORMED LOOPS</t>
  </si>
  <si>
    <t>SAFETY BOX INLET-15 IN SDB-1</t>
  </si>
  <si>
    <t>CONCRETE-CLASS A MOD</t>
  </si>
  <si>
    <t>DOUBLE VEHICULAR CHAIN LINK GATE</t>
  </si>
  <si>
    <t>G SERVICE SPECIAL INST</t>
  </si>
  <si>
    <t>23928EC</t>
  </si>
  <si>
    <t>PAVE MARK-THERMO "BUS" 8 FT</t>
  </si>
  <si>
    <t>CONCRETE-CLASS M 1</t>
  </si>
  <si>
    <t>RECONSTRUCT MANHOLE</t>
  </si>
  <si>
    <t>JOINT SEALING</t>
  </si>
  <si>
    <t>JUNCTION BOX-48 IN</t>
  </si>
  <si>
    <t>G SERVICE LONG SIDE 2 INCH INST</t>
  </si>
  <si>
    <t>METAL END SECTION TY 1-24 IN (EQUIV)</t>
  </si>
  <si>
    <t>REMOVE CONCRETE ISLAND</t>
  </si>
  <si>
    <t>TURF REINFORCEMENT MAT 2</t>
  </si>
  <si>
    <t>CONCRETE-CLASS A FOR STEPS</t>
  </si>
  <si>
    <t>REMOVE AND RESET END TREATMENT</t>
  </si>
  <si>
    <t>ISLAND INTEGRAL CURB</t>
  </si>
  <si>
    <t>METAL END SECTION TY 2-15 IN</t>
  </si>
  <si>
    <t>ELECTRICAL SERVICE</t>
  </si>
  <si>
    <t>ADJUST GUARDRAIL</t>
  </si>
  <si>
    <t>WATERPROOFING - TYPE A</t>
  </si>
  <si>
    <t>REMOVE AND RELOCATE SHEET SIGNS</t>
  </si>
  <si>
    <t>BARRIER MOUNTING BRACKET</t>
  </si>
  <si>
    <t>W VALVE BOX ADJUST</t>
  </si>
  <si>
    <t>REMOVE PRECAST VEHICLE STOP</t>
  </si>
  <si>
    <t>NO. 4/0 AWG- 600V- THHN/THWN-2 CABLE</t>
  </si>
  <si>
    <t>PAVE STRIPING-DUR TY 1-4 IN W</t>
  </si>
  <si>
    <t>23639ED</t>
  </si>
  <si>
    <t>REM SIGN BRIDGE MOUNT ATTACHMENT</t>
  </si>
  <si>
    <t>LOCKOUT-TAGOUT AND CC REGULATOR CAL PRO</t>
  </si>
  <si>
    <t>ORNAMENTAL PEDESTRIAN GATE - MANUAL</t>
  </si>
  <si>
    <t>W METER 2 INCH INST</t>
  </si>
  <si>
    <t>DELINEATOR FOR BARRIER WALL-B/W</t>
  </si>
  <si>
    <t>PROTECTIVE FENCE</t>
  </si>
  <si>
    <t>PAVE STRIPING-PERM PAINT-8 IN</t>
  </si>
  <si>
    <t>20061ES719</t>
  </si>
  <si>
    <t>G/R END TREATMENT TY 7 CR</t>
  </si>
  <si>
    <t>CONDUIT-3 1/2 IN</t>
  </si>
  <si>
    <t>W VALVE 02 INCH</t>
  </si>
  <si>
    <t>W VALVE CUT-IN 03 INCH</t>
  </si>
  <si>
    <t>23751EC</t>
  </si>
  <si>
    <t>CONDUIT UNDER ROADWAY</t>
  </si>
  <si>
    <t>EX L-880 PAPI SYS-REMOVED</t>
  </si>
  <si>
    <t>PAVE STRIPING-THERMO-8 IN W</t>
  </si>
  <si>
    <t>S FORCE MAIN TIE-IN 03 INCH</t>
  </si>
  <si>
    <t>PAVE MARK TY 1 TAPE X-WALK-6 IN</t>
  </si>
  <si>
    <t>W SERV PE/PLST SHORT SIDE 2 IN INST</t>
  </si>
  <si>
    <t>REMOVE MANHOLE</t>
  </si>
  <si>
    <t>PAVE MARK TEMP PAINT LINE ARROW</t>
  </si>
  <si>
    <t>ASPHALT PAVEMENT REMOVAL(ALL DEPTHS)</t>
  </si>
  <si>
    <t>26152EC</t>
  </si>
  <si>
    <t>PAVE MARK-THERMO POLYMER MOD CURVE ARROW</t>
  </si>
  <si>
    <t>PAVEMENT MARKER TY IVA-BY TEMP</t>
  </si>
  <si>
    <t>24890EC</t>
  </si>
  <si>
    <t>SIDEWALK-8 IN CONCRETE</t>
  </si>
  <si>
    <t>W METER 3/4 INCH INST</t>
  </si>
  <si>
    <t>SEPTIC TANK TREATMENT</t>
  </si>
  <si>
    <t>BRACKET 6 FT</t>
  </si>
  <si>
    <t>24544EC</t>
  </si>
  <si>
    <t>25072EC</t>
  </si>
  <si>
    <t>RELOCATE TEMPORARY SIGNALS</t>
  </si>
  <si>
    <t>25073EC</t>
  </si>
  <si>
    <t>CULVERT REPAIRS</t>
  </si>
  <si>
    <t>EX BASE MTD EDGE LIGHT-REMOVED</t>
  </si>
  <si>
    <t>PAINTING</t>
  </si>
  <si>
    <t>24689EC</t>
  </si>
  <si>
    <t>PAVE MARK THERMO-WRONG WAY ARROW</t>
  </si>
  <si>
    <t>PAVE MARKING-PAINT WORDS</t>
  </si>
  <si>
    <t>24123EC</t>
  </si>
  <si>
    <t>PVC CONDUIT-1 1/4 IN-SCHEDULE 40</t>
  </si>
  <si>
    <t>PIPE CULVERT HEADWALL-24 IN EQUIV</t>
  </si>
  <si>
    <t>DROP BOX INLET TYPE 15</t>
  </si>
  <si>
    <t>24404EC</t>
  </si>
  <si>
    <t>MECHANICAL REINF COUPLER-#7 EPOXY COATED</t>
  </si>
  <si>
    <t>ENTRANCE PIPE-24 IN EQUIV</t>
  </si>
  <si>
    <t>26177ED</t>
  </si>
  <si>
    <t>CONCRETE CAP</t>
  </si>
  <si>
    <t>G SERVICE SHORT SIDE 2 INCH INST</t>
  </si>
  <si>
    <t>REMOVE &amp; RESET TRAFFIC SIGN</t>
  </si>
  <si>
    <t>23314EC</t>
  </si>
  <si>
    <t>CONCRETE TRENCH</t>
  </si>
  <si>
    <t>LIP INTEGRAL CURB</t>
  </si>
  <si>
    <t>W SERVICE RELOCATE</t>
  </si>
  <si>
    <t>PAVEMENT MARKER TYPE V-MW</t>
  </si>
  <si>
    <t>23497EC</t>
  </si>
  <si>
    <t>REMOVE CULVERT PIPE HEADWALL</t>
  </si>
  <si>
    <t>23793EC</t>
  </si>
  <si>
    <t>CONNECT TO EXIST CULVERT</t>
  </si>
  <si>
    <t>EX STK MTD EDGE LIGHT-REMOVED</t>
  </si>
  <si>
    <t>W SERV PE/PLST SHORT SIDE 2 IN</t>
  </si>
  <si>
    <t>W SERV COPPER SHORT SIDE 1 IN</t>
  </si>
  <si>
    <t>REMOVE MEDIAN BOX INLET</t>
  </si>
  <si>
    <t>FLEXIBLE DELINEATOR POST-B/W</t>
  </si>
  <si>
    <t>POLE 45 FT WOODEN</t>
  </si>
  <si>
    <t>26165ES717</t>
  </si>
  <si>
    <t>PAVE MARK TY1 TAPE YIELD BAR-36 IN</t>
  </si>
  <si>
    <t>PAVED DITCH TYPE 1</t>
  </si>
  <si>
    <t>G VALVE STEEL 04 INCH</t>
  </si>
  <si>
    <t>G VALVE STEEL 01 INCH</t>
  </si>
  <si>
    <t>21071ND</t>
  </si>
  <si>
    <t>DATA SURGE DEVICE</t>
  </si>
  <si>
    <t>26150EC</t>
  </si>
  <si>
    <t>PAVE MARK-THERMO POLY MOD STOP BAR-24 IN</t>
  </si>
  <si>
    <t>CL3 ASPH BASE 0.75D PG64-22</t>
  </si>
  <si>
    <t>24280EC</t>
  </si>
  <si>
    <t>PAVE MARK THERMO CHEVRON-48 IN</t>
  </si>
  <si>
    <t>PAVEMENT MARKER TYPE V-BY</t>
  </si>
  <si>
    <t>PAVE MARKING-THERMO SCHOOL</t>
  </si>
  <si>
    <t>EX REIL SYS L-849-REMOVED</t>
  </si>
  <si>
    <t>CAP INLET</t>
  </si>
  <si>
    <t>20631ND</t>
  </si>
  <si>
    <t>INSTALL POLE MOUNTED SIGN</t>
  </si>
  <si>
    <t>PAVE MARK-PAINT ARROWS</t>
  </si>
  <si>
    <t>24543EC</t>
  </si>
  <si>
    <t>G VALVE STEEL 02 INCH</t>
  </si>
  <si>
    <t>REMOVE GUARDRAIL TERMINAL SECT</t>
  </si>
  <si>
    <t>REFERENCE MARKER</t>
  </si>
  <si>
    <t>REMOVE JUNCTION BOX</t>
  </si>
  <si>
    <t>PAVE MARK STOP BAR-24 IN PAINT</t>
  </si>
  <si>
    <t>23426EC</t>
  </si>
  <si>
    <t>PAINT SYMBOL-BICYCLE LANE</t>
  </si>
  <si>
    <t>21597EN</t>
  </si>
  <si>
    <t>REMOVE PERF PIPE HEADWALL</t>
  </si>
  <si>
    <t>TURF REINFORCEMENT MAT 4</t>
  </si>
  <si>
    <t>MECHANICAL REINF COUPLER #9</t>
  </si>
  <si>
    <t>REMOVE AND RESET</t>
  </si>
  <si>
    <t>PERF PIPE HEADWALL TY 3-8 IN</t>
  </si>
  <si>
    <t>SPECIAL EXCAVATION</t>
  </si>
  <si>
    <t>23886EC</t>
  </si>
  <si>
    <t>LINEAR DELINEATION PANELS-6 IN W</t>
  </si>
  <si>
    <t>G PIPE POLYETHYLENE/PLASTIC 02 INCH INST</t>
  </si>
  <si>
    <t>REMOVE CATCH BASIN</t>
  </si>
  <si>
    <t>ADJUST CATCH BASIN</t>
  </si>
  <si>
    <t>POLE 35 FT WOODEN</t>
  </si>
  <si>
    <t>TURF REINFORCEMENT MAT 3</t>
  </si>
  <si>
    <t>OBJECT MARKER TYPE 1</t>
  </si>
  <si>
    <t>G VALVE POLYETHYLENE/PLASTIC 03 INCH</t>
  </si>
  <si>
    <t>BOLT/RIVET REPLACEMENT</t>
  </si>
  <si>
    <t>MECHANICAL REINF COUPLER #6</t>
  </si>
  <si>
    <t>23255ES717</t>
  </si>
  <si>
    <t>PAVE MARK TY 1 TAPE-STRAIGHT ARROW</t>
  </si>
  <si>
    <t>PAVEMENT MARKER TYPE V-MY</t>
  </si>
  <si>
    <t>EX BASE MTD SIGN-REMOVED</t>
  </si>
  <si>
    <t>PAPI AIMING BAR</t>
  </si>
  <si>
    <t>G PIPE STEEL 02 INCH</t>
  </si>
  <si>
    <t>PAVE STRIPING-THERMO-8 IN Y</t>
  </si>
  <si>
    <t>24817EC</t>
  </si>
  <si>
    <t>PAVE MARK THERMO CONE CAP-SOLID WHITE</t>
  </si>
  <si>
    <t>S LINE MARKER</t>
  </si>
  <si>
    <t>W LINE MARKER INST</t>
  </si>
  <si>
    <t>BARRICADE-TYPE II</t>
  </si>
  <si>
    <t>WITNESS R/W MONUMENT TYPE 4</t>
  </si>
  <si>
    <t>G LINE MARKER</t>
  </si>
  <si>
    <t>PAVE STRIPING REMOVAL-12 IN</t>
  </si>
  <si>
    <t>STORM SEWER PIPE-21 IN</t>
  </si>
  <si>
    <t>23510EC</t>
  </si>
  <si>
    <t>PROJECT CLEANUP</t>
  </si>
  <si>
    <t>R/W MONUMENT TYPE 3A</t>
  </si>
  <si>
    <t>PAVE STRIPING-DUR TY 1-12 IN Y</t>
  </si>
  <si>
    <t>23150NN</t>
  </si>
  <si>
    <t>COMMUNICATION CABLE</t>
  </si>
  <si>
    <t>21579EN</t>
  </si>
  <si>
    <t>FLEX CONDUIT-1 1/4 IN</t>
  </si>
  <si>
    <t>NO.8 AWG</t>
  </si>
  <si>
    <t>CLEAN SEDIMENTATION BASIN</t>
  </si>
  <si>
    <t>NO.6 AWG</t>
  </si>
  <si>
    <t>PAVE STRIPING-TEMP PAINT-12 IN</t>
  </si>
  <si>
    <t>20210EP69</t>
  </si>
  <si>
    <t>COHESIVE PILE CORE</t>
  </si>
  <si>
    <t>PNEUMATIC BACKSTOWING</t>
  </si>
  <si>
    <t>24452EC</t>
  </si>
  <si>
    <t>SEEDING</t>
  </si>
  <si>
    <t>Average Unit Bid Prices of all items awarded in Kentucky for 2022</t>
  </si>
  <si>
    <t>671 CONTRACTS - AWARDED TOTAL: $1,192,190,966</t>
  </si>
  <si>
    <t>BJE-001-14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</si>
</sst>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quot;$&quot;#,##0.00"/>
    <numFmt numFmtId="168" formatCode="m/d/yy"/>
    <numFmt numFmtId="169" formatCode="#,##0.0"/>
    <numFmt numFmtId="170" formatCode="00000"/>
    <numFmt numFmtId="171" formatCode="m/d/yy;@"/>
    <numFmt numFmtId="172" formatCode="_(* #,##0_);_(* \(#,##0\);_(* &quot;-&quot;??_);_(@_)"/>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409]h:mm:ss\ AM/PM"/>
    <numFmt numFmtId="179" formatCode="[$-409]dddd\,\ mmmm\ d\,\ yyyy"/>
    <numFmt numFmtId="180" formatCode="####"/>
  </numFmts>
  <fonts count="74">
    <font>
      <sz val="10"/>
      <name val="Arial"/>
      <family val="0"/>
    </font>
    <font>
      <sz val="11"/>
      <color indexed="8"/>
      <name val="Calibri"/>
      <family val="2"/>
    </font>
    <font>
      <b/>
      <sz val="10"/>
      <name val="Arial"/>
      <family val="2"/>
    </font>
    <font>
      <b/>
      <sz val="8"/>
      <name val="Arial"/>
      <family val="2"/>
    </font>
    <font>
      <sz val="8"/>
      <name val="Arial"/>
      <family val="2"/>
    </font>
    <font>
      <sz val="8"/>
      <color indexed="10"/>
      <name val="Arial"/>
      <family val="2"/>
    </font>
    <font>
      <sz val="10"/>
      <color indexed="10"/>
      <name val="Arial"/>
      <family val="2"/>
    </font>
    <font>
      <sz val="10"/>
      <color indexed="12"/>
      <name val="Arial"/>
      <family val="2"/>
    </font>
    <font>
      <u val="single"/>
      <sz val="8"/>
      <name val="Arial"/>
      <family val="2"/>
    </font>
    <font>
      <sz val="8"/>
      <color indexed="12"/>
      <name val="Arial"/>
      <family val="2"/>
    </font>
    <font>
      <sz val="8"/>
      <color indexed="17"/>
      <name val="Arial"/>
      <family val="2"/>
    </font>
    <font>
      <sz val="10"/>
      <color indexed="17"/>
      <name val="Arial"/>
      <family val="2"/>
    </font>
    <font>
      <i/>
      <sz val="10"/>
      <name val="Arial"/>
      <family val="2"/>
    </font>
    <font>
      <b/>
      <sz val="12"/>
      <name val="Arial"/>
      <family val="2"/>
    </font>
    <font>
      <sz val="7"/>
      <name val="Arial"/>
      <family val="2"/>
    </font>
    <font>
      <b/>
      <sz val="14"/>
      <name val="Arial"/>
      <family val="2"/>
    </font>
    <font>
      <sz val="7"/>
      <color indexed="12"/>
      <name val="Arial"/>
      <family val="2"/>
    </font>
    <font>
      <sz val="9"/>
      <color indexed="10"/>
      <name val="Arial"/>
      <family val="2"/>
    </font>
    <font>
      <sz val="6"/>
      <name val="Arial"/>
      <family val="2"/>
    </font>
    <font>
      <b/>
      <sz val="10"/>
      <color indexed="17"/>
      <name val="Arial"/>
      <family val="2"/>
    </font>
    <font>
      <b/>
      <sz val="10"/>
      <color indexed="10"/>
      <name val="Arial"/>
      <family val="2"/>
    </font>
    <font>
      <b/>
      <i/>
      <sz val="10"/>
      <name val="Arial"/>
      <family val="2"/>
    </font>
    <font>
      <sz val="7"/>
      <color indexed="10"/>
      <name val="Arial"/>
      <family val="2"/>
    </font>
    <font>
      <sz val="7"/>
      <color indexed="17"/>
      <name val="Arial"/>
      <family val="2"/>
    </font>
    <font>
      <u val="single"/>
      <sz val="10"/>
      <color indexed="12"/>
      <name val="Arial"/>
      <family val="2"/>
    </font>
    <font>
      <i/>
      <sz val="8"/>
      <name val="Arial"/>
      <family val="2"/>
    </font>
    <font>
      <sz val="10"/>
      <color indexed="56"/>
      <name val="Arial"/>
      <family val="2"/>
    </font>
    <font>
      <b/>
      <sz val="10"/>
      <color indexed="12"/>
      <name val="Arial"/>
      <family val="2"/>
    </font>
    <font>
      <sz val="10"/>
      <name val="Wingdings"/>
      <family val="0"/>
    </font>
    <font>
      <b/>
      <u val="single"/>
      <sz val="10"/>
      <name val="Arial"/>
      <family val="2"/>
    </font>
    <font>
      <sz val="14"/>
      <name val="Arial"/>
      <family val="2"/>
    </font>
    <font>
      <sz val="8"/>
      <color indexed="22"/>
      <name val="Arial"/>
      <family val="2"/>
    </font>
    <font>
      <b/>
      <u val="single"/>
      <sz val="8"/>
      <color indexed="22"/>
      <name val="Arial"/>
      <family val="2"/>
    </font>
    <font>
      <b/>
      <u val="single"/>
      <sz val="14"/>
      <name val="Arial"/>
      <family val="2"/>
    </font>
    <font>
      <b/>
      <sz val="8"/>
      <color indexed="12"/>
      <name val="Arial"/>
      <family val="2"/>
    </font>
    <font>
      <b/>
      <sz val="18"/>
      <color indexed="10"/>
      <name val="Arial"/>
      <family val="2"/>
    </font>
    <font>
      <strik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s>
  <borders count="2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right style="dashed"/>
      <top style="dashed"/>
      <bottom style="dashed"/>
    </border>
    <border>
      <left style="hair"/>
      <right style="hair"/>
      <top style="hair"/>
      <bottom style="hair"/>
    </border>
    <border>
      <left/>
      <right/>
      <top/>
      <bottom style="thin"/>
    </border>
    <border>
      <left/>
      <right/>
      <top/>
      <bottom style="hair"/>
    </border>
    <border>
      <left/>
      <right/>
      <top style="hair"/>
      <bottom style="hair"/>
    </border>
    <border>
      <left style="thin"/>
      <right style="thin"/>
      <top style="thin"/>
      <bottom/>
    </border>
    <border>
      <left style="thin"/>
      <right/>
      <top/>
      <bottom/>
    </border>
    <border>
      <left style="thin"/>
      <right style="thin"/>
      <top/>
      <bottom/>
    </border>
    <border>
      <left style="thin"/>
      <right style="thin"/>
      <top/>
      <bottom style="thin"/>
    </border>
    <border>
      <left style="thin"/>
      <right style="thin"/>
      <top style="thin"/>
      <bottom style="hair"/>
    </border>
    <border>
      <left style="thin"/>
      <right style="thin"/>
      <top/>
      <bottom style="hair"/>
    </border>
    <border>
      <left style="thin"/>
      <right style="thin"/>
      <top style="hair"/>
      <bottom style="thin"/>
    </border>
    <border>
      <left style="thin"/>
      <right style="thin"/>
      <top style="hair"/>
      <bottom style="hair"/>
    </border>
    <border>
      <left style="thin"/>
      <right style="thin"/>
      <top style="thin"/>
      <bottom style="thin"/>
    </border>
    <border>
      <left style="hair"/>
      <right/>
      <top/>
      <bottom/>
    </border>
    <border>
      <left/>
      <right style="dashed"/>
      <top style="dashed"/>
      <bottom style="dashed"/>
    </border>
    <border>
      <left style="dashed"/>
      <right style="thick"/>
      <top style="dashed"/>
      <bottom style="dashed"/>
    </border>
    <border>
      <left/>
      <right style="dashed"/>
      <top style="dashed"/>
      <bottom style="thick"/>
    </border>
    <border>
      <left style="dashed"/>
      <right style="dashed"/>
      <top style="dashed"/>
      <bottom style="thick"/>
    </border>
    <border>
      <left style="dashed"/>
      <right style="thick"/>
      <top style="dashed"/>
      <bottom style="thick"/>
    </border>
    <border>
      <left style="hair"/>
      <right style="hair"/>
      <top style="hair"/>
      <bottom/>
    </border>
    <border>
      <left style="hair"/>
      <right/>
      <top style="hair"/>
      <bottom style="hair"/>
    </border>
    <border>
      <left style="hair"/>
      <right/>
      <top style="hair"/>
      <bottom/>
    </border>
    <border>
      <left style="thin"/>
      <right style="thin"/>
      <top style="double"/>
      <bottom/>
    </border>
    <border>
      <left/>
      <right/>
      <top/>
      <bottom style="dashed"/>
    </border>
    <border>
      <left/>
      <right style="hair"/>
      <top style="hair"/>
      <bottom style="hair"/>
    </border>
    <border>
      <left style="hair"/>
      <right style="hair"/>
      <top style="thick"/>
      <bottom style="hair"/>
    </border>
    <border>
      <left/>
      <right/>
      <top style="hair"/>
      <bottom/>
    </border>
    <border>
      <left/>
      <right style="hair"/>
      <top style="thick"/>
      <bottom style="hair"/>
    </border>
    <border>
      <left/>
      <right/>
      <top style="thick"/>
      <bottom style="hair"/>
    </border>
    <border>
      <left style="thin"/>
      <right/>
      <top style="hair"/>
      <bottom style="hair"/>
    </border>
    <border>
      <left style="thin"/>
      <right style="thin"/>
      <top style="thin"/>
      <bottom style="medium"/>
    </border>
    <border>
      <left style="thick"/>
      <right style="thin"/>
      <top style="thin"/>
      <bottom style="medium"/>
    </border>
    <border>
      <left style="thin"/>
      <right style="thin"/>
      <top style="double"/>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medium"/>
    </border>
    <border>
      <left/>
      <right style="thin"/>
      <top/>
      <bottom/>
    </border>
    <border>
      <left/>
      <right style="thin"/>
      <top/>
      <bottom style="thin"/>
    </border>
    <border>
      <left/>
      <right/>
      <top/>
      <bottom style="double"/>
    </border>
    <border>
      <left/>
      <right style="thin"/>
      <top/>
      <bottom style="double"/>
    </border>
    <border>
      <left/>
      <right/>
      <top style="thin"/>
      <bottom style="double"/>
    </border>
    <border>
      <left/>
      <right style="thin"/>
      <top style="thin"/>
      <bottom style="double"/>
    </border>
    <border>
      <left/>
      <right style="double"/>
      <top/>
      <bottom style="thin"/>
    </border>
    <border>
      <left style="thin"/>
      <right/>
      <top/>
      <bottom style="thin"/>
    </border>
    <border>
      <left/>
      <right style="double"/>
      <top style="thin"/>
      <bottom style="thin"/>
    </border>
    <border>
      <left style="double"/>
      <right style="thin"/>
      <top style="thin"/>
      <bottom style="thin"/>
    </border>
    <border>
      <left style="thin"/>
      <right/>
      <top style="thin"/>
      <bottom style="thin"/>
    </border>
    <border>
      <left style="double"/>
      <right style="thin"/>
      <top/>
      <bottom style="thin"/>
    </border>
    <border>
      <left style="thin"/>
      <right style="thin"/>
      <top style="thin"/>
      <bottom style="double"/>
    </border>
    <border>
      <left/>
      <right style="double"/>
      <top style="thin"/>
      <bottom/>
    </border>
    <border>
      <left style="thin"/>
      <right/>
      <top style="double"/>
      <bottom style="thin"/>
    </border>
    <border>
      <left/>
      <right style="thin"/>
      <top style="thin"/>
      <bottom style="thin"/>
    </border>
    <border>
      <left/>
      <right/>
      <top style="thin"/>
      <bottom style="thin"/>
    </border>
    <border>
      <left/>
      <right/>
      <top style="dashed"/>
      <bottom style="dashed"/>
    </border>
    <border>
      <left style="hair"/>
      <right/>
      <top style="thick"/>
      <bottom/>
    </border>
    <border>
      <left/>
      <right/>
      <top style="thick"/>
      <bottom/>
    </border>
    <border>
      <left style="hair"/>
      <right style="hair"/>
      <top/>
      <bottom style="hair"/>
    </border>
    <border>
      <left/>
      <right/>
      <top/>
      <bottom style="medium"/>
    </border>
    <border>
      <left style="medium"/>
      <right/>
      <top/>
      <bottom style="dashed"/>
    </border>
    <border>
      <left/>
      <right style="medium"/>
      <top/>
      <bottom style="dashed"/>
    </border>
    <border>
      <left style="thick"/>
      <right style="dashed"/>
      <top/>
      <bottom style="dashed"/>
    </border>
    <border>
      <left/>
      <right style="dashed"/>
      <top/>
      <bottom style="dashed"/>
    </border>
    <border>
      <left style="thick"/>
      <right style="dashed"/>
      <top style="dashed"/>
      <bottom style="dashed"/>
    </border>
    <border>
      <left style="thick"/>
      <right style="dashed"/>
      <top style="dashed"/>
      <bottom style="thick"/>
    </border>
    <border>
      <left style="medium"/>
      <right style="dashed"/>
      <top style="medium"/>
      <bottom style="dashed"/>
    </border>
    <border>
      <left style="thin"/>
      <right/>
      <top style="thin"/>
      <bottom style="medium"/>
    </border>
    <border>
      <left style="thick"/>
      <right style="thin"/>
      <top/>
      <bottom style="thin"/>
    </border>
    <border>
      <left style="thick"/>
      <right style="thin"/>
      <top style="thin"/>
      <bottom style="thin"/>
    </border>
    <border>
      <left style="thick"/>
      <right style="thin"/>
      <top style="double"/>
      <bottom style="thin"/>
    </border>
    <border>
      <left style="thin"/>
      <right style="thin"/>
      <top style="medium"/>
      <bottom style="medium"/>
    </border>
    <border>
      <left style="medium"/>
      <right style="thin"/>
      <top style="hair"/>
      <bottom style="hair"/>
    </border>
    <border>
      <left style="double"/>
      <right style="dashed"/>
      <top style="dashed"/>
      <bottom style="dashed"/>
    </border>
    <border>
      <left style="double"/>
      <right style="dashed"/>
      <top style="dashed"/>
      <bottom style="medium"/>
    </border>
    <border>
      <left/>
      <right style="thin"/>
      <top/>
      <bottom style="hair"/>
    </border>
    <border>
      <left/>
      <right style="thin"/>
      <top style="hair"/>
      <bottom style="hair"/>
    </border>
    <border>
      <left style="medium"/>
      <right style="thin"/>
      <top style="medium"/>
      <bottom/>
    </border>
    <border>
      <left style="thin"/>
      <right style="thin"/>
      <top style="medium"/>
      <bottom/>
    </border>
    <border>
      <left style="thin"/>
      <right/>
      <top style="hair"/>
      <bottom style="double"/>
    </border>
    <border>
      <left style="medium"/>
      <right style="thin"/>
      <top style="hair"/>
      <bottom style="double"/>
    </border>
    <border>
      <left style="thin"/>
      <right style="thin"/>
      <top style="hair"/>
      <bottom style="double"/>
    </border>
    <border>
      <left style="medium"/>
      <right style="thin"/>
      <top style="double"/>
      <bottom style="thin"/>
    </border>
    <border>
      <left/>
      <right style="thin"/>
      <top style="hair"/>
      <bottom style="double"/>
    </border>
    <border>
      <left/>
      <right style="thin"/>
      <top style="double"/>
      <bottom style="thin"/>
    </border>
    <border>
      <left/>
      <right style="thin"/>
      <top style="thin"/>
      <bottom style="medium"/>
    </border>
    <border>
      <left style="thin"/>
      <right style="medium"/>
      <top style="thin"/>
      <bottom style="thin"/>
    </border>
    <border>
      <left/>
      <right style="double"/>
      <top/>
      <bottom style="medium"/>
    </border>
    <border>
      <left style="double"/>
      <right/>
      <top/>
      <bottom style="medium"/>
    </border>
    <border>
      <left/>
      <right style="double"/>
      <top/>
      <bottom/>
    </border>
    <border>
      <left style="double"/>
      <right/>
      <top/>
      <bottom/>
    </border>
    <border>
      <left/>
      <right/>
      <top style="thin"/>
      <bottom/>
    </border>
    <border>
      <left/>
      <right style="thin"/>
      <top style="medium"/>
      <bottom style="thin"/>
    </border>
    <border>
      <left style="thin"/>
      <right/>
      <top style="medium"/>
      <bottom style="thin"/>
    </border>
    <border>
      <left style="thin"/>
      <right/>
      <top style="thin"/>
      <bottom/>
    </border>
    <border>
      <left style="thin"/>
      <right style="medium"/>
      <top style="medium"/>
      <bottom style="thin"/>
    </border>
    <border>
      <left style="thin"/>
      <right style="medium"/>
      <top style="thin"/>
      <bottom/>
    </border>
    <border>
      <left style="thin"/>
      <right style="medium"/>
      <top style="thin"/>
      <bottom style="medium"/>
    </border>
    <border>
      <left style="thin"/>
      <right style="medium"/>
      <top/>
      <bottom style="thin"/>
    </border>
    <border>
      <left style="thin"/>
      <right/>
      <top style="thin"/>
      <bottom style="hair"/>
    </border>
    <border>
      <left style="thin"/>
      <right/>
      <top/>
      <bottom style="hair"/>
    </border>
    <border>
      <left/>
      <right/>
      <top style="double"/>
      <bottom style="thin"/>
    </border>
    <border>
      <left/>
      <right/>
      <top style="hair"/>
      <bottom style="double"/>
    </border>
    <border>
      <left style="medium"/>
      <right/>
      <top style="thin"/>
      <bottom style="thin"/>
    </border>
    <border>
      <left style="medium"/>
      <right style="thin"/>
      <top style="thin"/>
      <bottom style="hair"/>
    </border>
    <border>
      <left style="medium"/>
      <right style="thin"/>
      <top/>
      <bottom style="hair"/>
    </border>
    <border>
      <left style="thin"/>
      <right style="medium"/>
      <top/>
      <bottom style="hair"/>
    </border>
    <border>
      <left style="thin"/>
      <right style="medium"/>
      <top style="hair"/>
      <bottom style="hair"/>
    </border>
    <border>
      <left style="medium"/>
      <right/>
      <top style="hair"/>
      <bottom style="hair"/>
    </border>
    <border>
      <left style="medium"/>
      <right/>
      <top style="hair"/>
      <bottom style="double"/>
    </border>
    <border>
      <left style="thin"/>
      <right style="medium"/>
      <top style="hair"/>
      <bottom style="double"/>
    </border>
    <border>
      <left/>
      <right/>
      <top style="medium"/>
      <bottom/>
    </border>
    <border>
      <left style="thin"/>
      <right/>
      <top style="thin"/>
      <bottom style="double"/>
    </border>
    <border>
      <left style="medium"/>
      <right/>
      <top style="dashed"/>
      <bottom style="dashed"/>
    </border>
    <border>
      <left/>
      <right style="medium"/>
      <top style="dashed"/>
      <bottom style="dashed"/>
    </border>
    <border>
      <left style="dashed"/>
      <right/>
      <top style="dashed"/>
      <bottom style="dashed"/>
    </border>
    <border>
      <left style="medium"/>
      <right/>
      <top/>
      <bottom/>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medium"/>
      <right/>
      <top style="medium"/>
      <bottom/>
    </border>
    <border>
      <left/>
      <right style="double"/>
      <top style="medium"/>
      <bottom/>
    </border>
    <border>
      <left style="medium"/>
      <right/>
      <top/>
      <bottom style="medium"/>
    </border>
    <border>
      <left/>
      <right style="medium"/>
      <top/>
      <bottom style="medium"/>
    </border>
    <border>
      <left style="dashed"/>
      <right/>
      <top style="medium"/>
      <bottom style="dashed"/>
    </border>
    <border>
      <left/>
      <right/>
      <top style="medium"/>
      <bottom style="dashed"/>
    </border>
    <border>
      <left style="double"/>
      <right/>
      <top/>
      <bottom style="double"/>
    </border>
    <border>
      <left/>
      <right style="double"/>
      <top/>
      <bottom style="double"/>
    </border>
    <border>
      <left style="medium"/>
      <right/>
      <top/>
      <bottom style="thin"/>
    </border>
    <border>
      <left style="dashed"/>
      <right style="medium"/>
      <top style="dashed"/>
      <bottom style="dashed"/>
    </border>
    <border>
      <left style="medium"/>
      <right/>
      <top style="dotted"/>
      <bottom style="dotted"/>
    </border>
    <border>
      <left/>
      <right/>
      <top style="dotted"/>
      <bottom style="dotted"/>
    </border>
    <border>
      <left/>
      <right style="medium"/>
      <top style="dotted"/>
      <bottom style="dotted"/>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dashed"/>
      <bottom style="medium"/>
    </border>
    <border>
      <left/>
      <right style="medium"/>
      <top style="dashed"/>
      <bottom style="medium"/>
    </border>
    <border>
      <left style="medium"/>
      <right/>
      <top style="thin"/>
      <bottom style="dashed"/>
    </border>
    <border>
      <left/>
      <right/>
      <top style="thin"/>
      <bottom style="dashed"/>
    </border>
    <border>
      <left style="medium"/>
      <right/>
      <top style="medium"/>
      <bottom style="dotted"/>
    </border>
    <border>
      <left/>
      <right/>
      <top style="medium"/>
      <bottom style="dotted"/>
    </border>
    <border>
      <left/>
      <right style="medium"/>
      <top style="medium"/>
      <bottom style="dotted"/>
    </border>
    <border>
      <left style="medium"/>
      <right style="medium"/>
      <top style="medium"/>
      <bottom/>
    </border>
    <border>
      <left style="medium"/>
      <right style="medium"/>
      <top/>
      <bottom style="medium"/>
    </border>
    <border>
      <left style="dashed"/>
      <right style="dashed"/>
      <top/>
      <bottom style="dashed"/>
    </border>
    <border>
      <left style="dashed"/>
      <right style="thick"/>
      <top/>
      <bottom style="dashed"/>
    </border>
    <border>
      <left style="medium"/>
      <right style="dashed"/>
      <top style="dashed"/>
      <bottom style="dashed"/>
    </border>
    <border>
      <left style="dashed"/>
      <right style="dashed"/>
      <top style="medium"/>
      <bottom style="dashed"/>
    </border>
    <border>
      <left style="dashed"/>
      <right style="medium"/>
      <top style="medium"/>
      <bottom style="dashed"/>
    </border>
    <border>
      <left style="dashed"/>
      <right style="medium"/>
      <top style="dashed"/>
      <bottom/>
    </border>
    <border>
      <left style="medium"/>
      <right style="dashed"/>
      <top style="dashed"/>
      <bottom/>
    </border>
    <border>
      <left style="medium"/>
      <right/>
      <top style="dashed"/>
      <bottom/>
    </border>
    <border>
      <left/>
      <right/>
      <top style="dashed"/>
      <bottom/>
    </border>
    <border>
      <left/>
      <right style="medium"/>
      <top style="dashed"/>
      <bottom/>
    </border>
    <border>
      <left style="medium"/>
      <right style="medium"/>
      <top style="dashed"/>
      <bottom style="dashed"/>
    </border>
    <border>
      <left/>
      <right style="medium"/>
      <top/>
      <bottom/>
    </border>
    <border>
      <left/>
      <right style="medium"/>
      <top/>
      <bottom style="thin"/>
    </border>
    <border>
      <left/>
      <right style="medium"/>
      <top style="thin"/>
      <bottom style="dashed"/>
    </border>
    <border>
      <left style="medium"/>
      <right/>
      <top style="thin"/>
      <bottom/>
    </border>
    <border>
      <left style="medium"/>
      <right/>
      <top style="dashed"/>
      <bottom style="medium"/>
    </border>
    <border>
      <left style="medium"/>
      <right/>
      <top style="medium"/>
      <bottom style="dashed"/>
    </border>
    <border>
      <left/>
      <right style="medium"/>
      <top style="medium"/>
      <bottom style="dashed"/>
    </border>
    <border>
      <left style="medium"/>
      <right/>
      <top style="dashed"/>
      <bottom style="dotted"/>
    </border>
    <border>
      <left/>
      <right/>
      <top style="dashed"/>
      <bottom style="dotted"/>
    </border>
    <border>
      <left/>
      <right style="medium"/>
      <top style="dashed"/>
      <bottom style="dotted"/>
    </border>
    <border>
      <left style="medium"/>
      <right/>
      <top style="dotted"/>
      <bottom style="medium"/>
    </border>
    <border>
      <left/>
      <right/>
      <top style="dotted"/>
      <bottom style="medium"/>
    </border>
    <border>
      <left/>
      <right style="medium"/>
      <top style="dotted"/>
      <bottom style="medium"/>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style="medium"/>
      <top style="thin"/>
      <bottom style="medium"/>
    </border>
    <border>
      <left style="medium"/>
      <right style="thin"/>
      <top/>
      <bottom style="thin"/>
    </border>
    <border>
      <left style="double"/>
      <right/>
      <top style="medium"/>
      <bottom style="medium"/>
    </border>
    <border>
      <left/>
      <right/>
      <top style="thin"/>
      <bottom style="medium"/>
    </border>
    <border>
      <left style="medium"/>
      <right/>
      <top style="medium"/>
      <bottom style="thin"/>
    </border>
    <border>
      <left/>
      <right/>
      <top style="medium"/>
      <bottom style="thin"/>
    </border>
    <border>
      <left style="thick"/>
      <right/>
      <top style="thin"/>
      <bottom style="thin"/>
    </border>
    <border>
      <left/>
      <right style="thick"/>
      <top style="thin"/>
      <bottom style="thin"/>
    </border>
    <border>
      <left style="thick"/>
      <right/>
      <top/>
      <bottom style="thin"/>
    </border>
    <border>
      <left/>
      <right style="thick"/>
      <top/>
      <bottom style="thin"/>
    </border>
    <border>
      <left style="thin"/>
      <right style="medium"/>
      <top style="double"/>
      <bottom style="thin"/>
    </border>
    <border>
      <left style="thick"/>
      <right/>
      <top style="thin"/>
      <bottom style="medium"/>
    </border>
    <border>
      <left/>
      <right style="thick"/>
      <top style="thin"/>
      <bottom style="medium"/>
    </border>
    <border>
      <left/>
      <right style="thick"/>
      <top style="medium"/>
      <bottom style="thin"/>
    </border>
    <border>
      <left/>
      <right style="hair"/>
      <top/>
      <bottom/>
    </border>
    <border>
      <left/>
      <right style="medium"/>
      <top style="medium"/>
      <bottom style="thin"/>
    </border>
    <border>
      <left style="medium"/>
      <right style="thin"/>
      <top style="medium"/>
      <bottom style="hair"/>
    </border>
    <border>
      <left style="thin"/>
      <right style="medium"/>
      <top style="medium"/>
      <bottom style="hair"/>
    </border>
    <border>
      <left style="medium"/>
      <right/>
      <top style="thin"/>
      <bottom style="medium"/>
    </border>
    <border>
      <left style="thin"/>
      <right/>
      <top style="medium"/>
      <bottom style="hair"/>
    </border>
    <border>
      <left/>
      <right style="thin"/>
      <top style="medium"/>
      <bottom style="hair"/>
    </border>
    <border>
      <left style="thin"/>
      <right style="thin"/>
      <top style="medium"/>
      <bottom style="hair"/>
    </border>
    <border>
      <left/>
      <right style="medium"/>
      <top style="thin"/>
      <bottom style="thin"/>
    </border>
    <border>
      <left/>
      <right style="medium"/>
      <top style="thin"/>
      <bottom style="medium"/>
    </border>
    <border>
      <left style="medium"/>
      <right/>
      <top style="double"/>
      <bottom style="thin"/>
    </border>
    <border>
      <left/>
      <right style="hair"/>
      <top style="hair"/>
      <bottom/>
    </border>
    <border>
      <left style="hair"/>
      <right/>
      <top/>
      <bottom style="hair"/>
    </border>
    <border>
      <left/>
      <right style="hair"/>
      <top/>
      <bottom style="hair"/>
    </border>
    <border>
      <left style="medium"/>
      <right style="double"/>
      <top style="thin"/>
      <bottom style="thin"/>
    </border>
    <border>
      <left style="double"/>
      <right style="double"/>
      <top style="thin"/>
      <bottom style="thin"/>
    </border>
    <border>
      <left style="double"/>
      <right style="medium"/>
      <top style="thin"/>
      <bottom style="thin"/>
    </border>
    <border>
      <left/>
      <right style="thin"/>
      <top style="thin"/>
      <bottom style="hair"/>
    </border>
    <border>
      <left style="thin"/>
      <right style="medium"/>
      <top style="thin"/>
      <bottom style="hair"/>
    </border>
    <border>
      <left style="medium"/>
      <right style="thin"/>
      <top style="thin"/>
      <bottom/>
    </border>
    <border>
      <left style="medium"/>
      <right style="double"/>
      <top/>
      <bottom style="thin"/>
    </border>
    <border>
      <left style="double"/>
      <right style="double"/>
      <top/>
      <bottom style="thin"/>
    </border>
    <border>
      <left style="double"/>
      <right style="medium"/>
      <top/>
      <bottom style="thin"/>
    </border>
    <border>
      <left/>
      <right style="thin"/>
      <top style="thin"/>
      <bottom/>
    </border>
    <border>
      <left/>
      <right/>
      <top style="thin"/>
      <bottom style="hair"/>
    </border>
    <border>
      <left style="thin"/>
      <right style="thin"/>
      <top/>
      <bottom style="double"/>
    </border>
    <border>
      <left style="double"/>
      <right/>
      <top style="thin"/>
      <bottom style="thin"/>
    </border>
    <border>
      <left/>
      <right style="double"/>
      <top style="double"/>
      <bottom style="thin"/>
    </border>
    <border>
      <left style="double"/>
      <right/>
      <top style="double"/>
      <bottom style="thin"/>
    </border>
    <border>
      <left style="double"/>
      <right/>
      <top style="thin"/>
      <bottom style="double"/>
    </border>
    <border>
      <left style="hair"/>
      <right style="hair"/>
      <top/>
      <bottom/>
    </border>
    <border>
      <left/>
      <right style="hair"/>
      <top/>
      <bottom style="medium"/>
    </border>
    <border>
      <left style="hair"/>
      <right style="hair"/>
      <top/>
      <bottom style="medium"/>
    </border>
    <border>
      <left style="hair"/>
      <right/>
      <top/>
      <bottom style="medium"/>
    </border>
    <border>
      <left style="thin"/>
      <right/>
      <top style="hair"/>
      <bottom style="thin"/>
    </border>
    <border>
      <left/>
      <right style="thin"/>
      <top style="hair"/>
      <bottom style="thin"/>
    </border>
    <border>
      <left style="thin"/>
      <right/>
      <top style="double"/>
      <bottom style="hair"/>
    </border>
    <border>
      <left/>
      <right/>
      <top style="double"/>
      <bottom style="hair"/>
    </border>
    <border>
      <left/>
      <right style="thin"/>
      <top style="double"/>
      <bottom style="hair"/>
    </border>
    <border>
      <left/>
      <right/>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43">
    <xf numFmtId="0" fontId="0" fillId="0" borderId="0" xfId="0" applyAlignment="1">
      <alignment/>
    </xf>
    <xf numFmtId="0" fontId="4" fillId="0" borderId="0" xfId="0" applyFont="1" applyAlignment="1">
      <alignment/>
    </xf>
    <xf numFmtId="0" fontId="3" fillId="0" borderId="0" xfId="0" applyNumberFormat="1" applyFont="1" applyAlignment="1" applyProtection="1">
      <alignment horizontal="left"/>
      <protection/>
    </xf>
    <xf numFmtId="0" fontId="4" fillId="0" borderId="0" xfId="0" applyFont="1" applyBorder="1" applyAlignment="1">
      <alignment/>
    </xf>
    <xf numFmtId="0" fontId="0" fillId="0" borderId="0" xfId="0"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6" fillId="0" borderId="10" xfId="0" applyFont="1" applyBorder="1" applyAlignment="1" applyProtection="1">
      <alignment horizontal="center" vertical="center"/>
      <protection locked="0"/>
    </xf>
    <xf numFmtId="0" fontId="4" fillId="0" borderId="0" xfId="0" applyNumberFormat="1" applyFont="1" applyAlignment="1" applyProtection="1">
      <alignment vertical="center"/>
      <protection/>
    </xf>
    <xf numFmtId="0" fontId="9" fillId="0" borderId="11"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8" fillId="0" borderId="0" xfId="0" applyNumberFormat="1" applyFont="1" applyAlignment="1" applyProtection="1">
      <alignment horizontal="center" vertical="center"/>
      <protection/>
    </xf>
    <xf numFmtId="0" fontId="4" fillId="0" borderId="0" xfId="0" applyNumberFormat="1" applyFont="1" applyAlignment="1" applyProtection="1">
      <alignment horizontal="left" vertical="center"/>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0" fontId="4" fillId="0" borderId="12" xfId="0" applyFont="1" applyBorder="1" applyAlignment="1" applyProtection="1">
      <alignment/>
      <protection/>
    </xf>
    <xf numFmtId="0" fontId="4" fillId="0" borderId="0" xfId="0" applyFont="1" applyBorder="1" applyAlignment="1" applyProtection="1">
      <alignment horizontal="right"/>
      <protection/>
    </xf>
    <xf numFmtId="0" fontId="4" fillId="0" borderId="13" xfId="0" applyFont="1" applyBorder="1" applyAlignment="1" applyProtection="1">
      <alignment/>
      <protection/>
    </xf>
    <xf numFmtId="0" fontId="9" fillId="0" borderId="13" xfId="0" applyFont="1" applyBorder="1" applyAlignment="1" applyProtection="1">
      <alignment/>
      <protection/>
    </xf>
    <xf numFmtId="0" fontId="4" fillId="0" borderId="14" xfId="0" applyFont="1" applyBorder="1" applyAlignment="1" applyProtection="1">
      <alignment/>
      <protection/>
    </xf>
    <xf numFmtId="0" fontId="3" fillId="0" borderId="13" xfId="0" applyNumberFormat="1" applyFont="1" applyBorder="1" applyAlignment="1" applyProtection="1">
      <alignment horizontal="left"/>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4" fillId="0" borderId="17" xfId="0" applyFont="1" applyBorder="1" applyAlignment="1" applyProtection="1">
      <alignment horizontal="center"/>
      <protection/>
    </xf>
    <xf numFmtId="0" fontId="4" fillId="0" borderId="18" xfId="0" applyFont="1" applyBorder="1" applyAlignment="1" applyProtection="1">
      <alignment horizontal="center"/>
      <protection/>
    </xf>
    <xf numFmtId="166" fontId="9" fillId="0" borderId="19" xfId="0" applyNumberFormat="1" applyFont="1" applyBorder="1" applyAlignment="1" applyProtection="1">
      <alignment horizontal="center"/>
      <protection/>
    </xf>
    <xf numFmtId="2" fontId="4" fillId="0" borderId="20" xfId="0" applyNumberFormat="1" applyFont="1" applyBorder="1" applyAlignment="1" applyProtection="1">
      <alignment/>
      <protection/>
    </xf>
    <xf numFmtId="4" fontId="9" fillId="0" borderId="20" xfId="0" applyNumberFormat="1" applyFont="1" applyBorder="1" applyAlignment="1" applyProtection="1">
      <alignment/>
      <protection/>
    </xf>
    <xf numFmtId="0" fontId="9" fillId="0" borderId="20" xfId="0" applyFont="1" applyBorder="1" applyAlignment="1" applyProtection="1">
      <alignment horizontal="center"/>
      <protection/>
    </xf>
    <xf numFmtId="2" fontId="4" fillId="0" borderId="17" xfId="0" applyNumberFormat="1" applyFont="1" applyBorder="1" applyAlignment="1" applyProtection="1">
      <alignment/>
      <protection/>
    </xf>
    <xf numFmtId="0" fontId="9" fillId="0" borderId="21" xfId="0" applyFont="1" applyBorder="1" applyAlignment="1" applyProtection="1">
      <alignment horizontal="center"/>
      <protection/>
    </xf>
    <xf numFmtId="2" fontId="4" fillId="0" borderId="18" xfId="0" applyNumberFormat="1" applyFont="1" applyBorder="1" applyAlignment="1" applyProtection="1">
      <alignment/>
      <protection/>
    </xf>
    <xf numFmtId="2" fontId="10" fillId="0" borderId="20" xfId="0" applyNumberFormat="1" applyFont="1" applyBorder="1" applyAlignment="1" applyProtection="1">
      <alignment/>
      <protection/>
    </xf>
    <xf numFmtId="4" fontId="10" fillId="0" borderId="20" xfId="0" applyNumberFormat="1" applyFont="1" applyBorder="1" applyAlignment="1" applyProtection="1">
      <alignment/>
      <protection/>
    </xf>
    <xf numFmtId="2" fontId="10" fillId="0" borderId="18" xfId="0" applyNumberFormat="1" applyFont="1" applyBorder="1" applyAlignment="1" applyProtection="1">
      <alignment/>
      <protection/>
    </xf>
    <xf numFmtId="4" fontId="5" fillId="0" borderId="18" xfId="0" applyNumberFormat="1" applyFont="1" applyBorder="1" applyAlignment="1" applyProtection="1">
      <alignment/>
      <protection/>
    </xf>
    <xf numFmtId="17" fontId="4" fillId="0" borderId="20" xfId="0" applyNumberFormat="1" applyFont="1" applyBorder="1" applyAlignment="1" applyProtection="1">
      <alignment/>
      <protection locked="0"/>
    </xf>
    <xf numFmtId="169" fontId="5" fillId="0" borderId="17" xfId="0" applyNumberFormat="1" applyFont="1" applyBorder="1" applyAlignment="1" applyProtection="1">
      <alignment horizontal="right"/>
      <protection locked="0"/>
    </xf>
    <xf numFmtId="169" fontId="5" fillId="0" borderId="22" xfId="0" applyNumberFormat="1" applyFont="1" applyBorder="1" applyAlignment="1" applyProtection="1">
      <alignment horizontal="right"/>
      <protection locked="0"/>
    </xf>
    <xf numFmtId="2" fontId="4" fillId="0" borderId="20" xfId="0" applyNumberFormat="1" applyFont="1" applyBorder="1" applyAlignment="1" applyProtection="1">
      <alignment/>
      <protection locked="0"/>
    </xf>
    <xf numFmtId="4" fontId="5" fillId="0" borderId="17" xfId="0" applyNumberFormat="1" applyFont="1" applyBorder="1" applyAlignment="1" applyProtection="1">
      <alignment horizontal="right"/>
      <protection locked="0"/>
    </xf>
    <xf numFmtId="4" fontId="5" fillId="0" borderId="22" xfId="0" applyNumberFormat="1" applyFont="1" applyBorder="1" applyAlignment="1" applyProtection="1">
      <alignment horizontal="right"/>
      <protection locked="0"/>
    </xf>
    <xf numFmtId="0" fontId="0" fillId="0" borderId="0" xfId="0" applyAlignment="1" applyProtection="1">
      <alignment vertical="center"/>
      <protection/>
    </xf>
    <xf numFmtId="0" fontId="4" fillId="0" borderId="14" xfId="0" applyNumberFormat="1" applyFont="1" applyBorder="1" applyAlignment="1" applyProtection="1">
      <alignment horizontal="left" vertical="center"/>
      <protection/>
    </xf>
    <xf numFmtId="0" fontId="4" fillId="0" borderId="13" xfId="0" applyNumberFormat="1" applyFont="1" applyBorder="1" applyAlignment="1" applyProtection="1">
      <alignment horizontal="left" vertical="center"/>
      <protection/>
    </xf>
    <xf numFmtId="0" fontId="9" fillId="0" borderId="23" xfId="0" applyFont="1" applyBorder="1" applyAlignment="1">
      <alignment horizontal="center"/>
    </xf>
    <xf numFmtId="0" fontId="0" fillId="0" borderId="0" xfId="0" applyFont="1" applyBorder="1" applyAlignment="1">
      <alignment/>
    </xf>
    <xf numFmtId="0" fontId="4" fillId="0" borderId="14" xfId="0" applyFont="1" applyBorder="1" applyAlignment="1">
      <alignment vertical="center"/>
    </xf>
    <xf numFmtId="0" fontId="4" fillId="0" borderId="13"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pplyProtection="1">
      <alignment vertical="center"/>
      <protection locked="0"/>
    </xf>
    <xf numFmtId="0" fontId="0" fillId="0" borderId="0" xfId="0" applyBorder="1" applyAlignment="1">
      <alignment/>
    </xf>
    <xf numFmtId="0" fontId="0" fillId="0" borderId="0" xfId="0" applyFont="1" applyBorder="1" applyAlignment="1">
      <alignment vertical="center"/>
    </xf>
    <xf numFmtId="0" fontId="18" fillId="0" borderId="0" xfId="0" applyFont="1" applyAlignment="1">
      <alignment horizontal="center"/>
    </xf>
    <xf numFmtId="0" fontId="4" fillId="0" borderId="0" xfId="0" applyFont="1" applyBorder="1" applyAlignment="1">
      <alignment vertical="center"/>
    </xf>
    <xf numFmtId="0" fontId="9" fillId="0" borderId="24" xfId="0" applyNumberFormat="1" applyFont="1" applyBorder="1" applyAlignment="1" applyProtection="1">
      <alignment horizontal="center" vertical="center"/>
      <protection/>
    </xf>
    <xf numFmtId="0" fontId="0" fillId="0" borderId="0" xfId="0" applyFont="1" applyBorder="1" applyAlignment="1">
      <alignment/>
    </xf>
    <xf numFmtId="168" fontId="9" fillId="0" borderId="18" xfId="0" applyNumberFormat="1" applyFont="1" applyBorder="1" applyAlignment="1" applyProtection="1">
      <alignment horizontal="center"/>
      <protection/>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4" fontId="10" fillId="0" borderId="18" xfId="0" applyNumberFormat="1" applyFont="1" applyBorder="1" applyAlignment="1" applyProtection="1">
      <alignment/>
      <protection/>
    </xf>
    <xf numFmtId="0" fontId="4" fillId="0" borderId="0" xfId="0" applyFont="1" applyAlignment="1">
      <alignment horizontal="center"/>
    </xf>
    <xf numFmtId="0" fontId="9" fillId="0" borderId="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9" fillId="0" borderId="13" xfId="0" applyFont="1" applyBorder="1" applyAlignment="1">
      <alignment horizontal="center"/>
    </xf>
    <xf numFmtId="0" fontId="4" fillId="0" borderId="0" xfId="0" applyFont="1" applyAlignment="1">
      <alignment horizontal="right"/>
    </xf>
    <xf numFmtId="0" fontId="9" fillId="0" borderId="0" xfId="0" applyFont="1" applyAlignment="1">
      <alignment/>
    </xf>
    <xf numFmtId="0" fontId="9" fillId="0" borderId="0" xfId="0" applyFont="1" applyAlignment="1">
      <alignment horizontal="right"/>
    </xf>
    <xf numFmtId="0" fontId="9" fillId="0" borderId="11" xfId="0" applyFont="1" applyBorder="1" applyAlignment="1">
      <alignment horizontal="center"/>
    </xf>
    <xf numFmtId="0" fontId="9" fillId="0" borderId="0" xfId="0" applyFont="1" applyAlignment="1">
      <alignment horizontal="center"/>
    </xf>
    <xf numFmtId="0" fontId="9" fillId="0" borderId="11" xfId="0" applyFont="1" applyBorder="1" applyAlignment="1">
      <alignment/>
    </xf>
    <xf numFmtId="0" fontId="9" fillId="0" borderId="14" xfId="0" applyFont="1" applyBorder="1" applyAlignment="1">
      <alignment horizontal="center"/>
    </xf>
    <xf numFmtId="0" fontId="9" fillId="0" borderId="30" xfId="0" applyFont="1" applyBorder="1" applyAlignment="1">
      <alignment/>
    </xf>
    <xf numFmtId="0" fontId="9" fillId="0" borderId="31" xfId="0" applyFont="1" applyBorder="1" applyAlignment="1">
      <alignment/>
    </xf>
    <xf numFmtId="0" fontId="9" fillId="0" borderId="31" xfId="0" applyFont="1" applyBorder="1" applyAlignment="1">
      <alignment horizontal="center"/>
    </xf>
    <xf numFmtId="0" fontId="9" fillId="0" borderId="32" xfId="0" applyFont="1" applyBorder="1" applyAlignment="1">
      <alignment horizontal="center"/>
    </xf>
    <xf numFmtId="0" fontId="4" fillId="0" borderId="0" xfId="0" applyFont="1" applyFill="1" applyBorder="1" applyAlignment="1" applyProtection="1">
      <alignment horizontal="right"/>
      <protection/>
    </xf>
    <xf numFmtId="0" fontId="9" fillId="0" borderId="22" xfId="0" applyFont="1" applyBorder="1" applyAlignment="1">
      <alignment horizontal="center"/>
    </xf>
    <xf numFmtId="0" fontId="9" fillId="0" borderId="33" xfId="0" applyFont="1" applyBorder="1" applyAlignment="1" applyProtection="1">
      <alignment horizontal="center"/>
      <protection/>
    </xf>
    <xf numFmtId="2" fontId="4" fillId="0" borderId="33" xfId="0" applyNumberFormat="1" applyFont="1" applyBorder="1" applyAlignment="1" applyProtection="1">
      <alignment/>
      <protection/>
    </xf>
    <xf numFmtId="0" fontId="4" fillId="0" borderId="33" xfId="0" applyFont="1" applyBorder="1" applyAlignment="1" applyProtection="1">
      <alignment horizontal="center"/>
      <protection/>
    </xf>
    <xf numFmtId="2" fontId="4" fillId="0" borderId="13" xfId="0" applyNumberFormat="1" applyFont="1" applyBorder="1" applyAlignment="1" applyProtection="1">
      <alignment/>
      <protection/>
    </xf>
    <xf numFmtId="2" fontId="5" fillId="0" borderId="20" xfId="0" applyNumberFormat="1" applyFont="1" applyBorder="1" applyAlignment="1" applyProtection="1">
      <alignment horizontal="center"/>
      <protection/>
    </xf>
    <xf numFmtId="2" fontId="5" fillId="0" borderId="22" xfId="0" applyNumberFormat="1" applyFont="1" applyBorder="1" applyAlignment="1" applyProtection="1">
      <alignment horizontal="center"/>
      <protection/>
    </xf>
    <xf numFmtId="2" fontId="5" fillId="0" borderId="17" xfId="0" applyNumberFormat="1" applyFont="1" applyBorder="1" applyAlignment="1" applyProtection="1">
      <alignment horizontal="center"/>
      <protection/>
    </xf>
    <xf numFmtId="2" fontId="5" fillId="0" borderId="21" xfId="0" applyNumberFormat="1" applyFont="1" applyBorder="1" applyAlignment="1" applyProtection="1">
      <alignment horizontal="center"/>
      <protection/>
    </xf>
    <xf numFmtId="0" fontId="9" fillId="0" borderId="22" xfId="0" applyFont="1" applyBorder="1" applyAlignment="1" applyProtection="1">
      <alignment horizontal="center"/>
      <protection/>
    </xf>
    <xf numFmtId="0" fontId="9" fillId="0" borderId="17" xfId="0" applyFont="1" applyBorder="1" applyAlignment="1" applyProtection="1">
      <alignment horizontal="center"/>
      <protection/>
    </xf>
    <xf numFmtId="2" fontId="9" fillId="0" borderId="22" xfId="0" applyNumberFormat="1" applyFont="1" applyBorder="1" applyAlignment="1" applyProtection="1">
      <alignment horizontal="right"/>
      <protection/>
    </xf>
    <xf numFmtId="2" fontId="9" fillId="0" borderId="20" xfId="0" applyNumberFormat="1" applyFont="1" applyBorder="1" applyAlignment="1" applyProtection="1">
      <alignment horizontal="right"/>
      <protection/>
    </xf>
    <xf numFmtId="2" fontId="9" fillId="0" borderId="17" xfId="0" applyNumberFormat="1" applyFont="1" applyBorder="1" applyAlignment="1" applyProtection="1">
      <alignment horizontal="right"/>
      <protection/>
    </xf>
    <xf numFmtId="2" fontId="9" fillId="0" borderId="21" xfId="0" applyNumberFormat="1" applyFont="1" applyBorder="1" applyAlignment="1" applyProtection="1">
      <alignment horizontal="right"/>
      <protection/>
    </xf>
    <xf numFmtId="4" fontId="9" fillId="0" borderId="22" xfId="0" applyNumberFormat="1" applyFont="1" applyBorder="1" applyAlignment="1" applyProtection="1">
      <alignment horizontal="right"/>
      <protection/>
    </xf>
    <xf numFmtId="0" fontId="9" fillId="0" borderId="17" xfId="0" applyFont="1" applyBorder="1" applyAlignment="1">
      <alignment horizontal="center"/>
    </xf>
    <xf numFmtId="0" fontId="9" fillId="0" borderId="21" xfId="0" applyFont="1" applyBorder="1" applyAlignment="1">
      <alignment horizontal="center"/>
    </xf>
    <xf numFmtId="0" fontId="6" fillId="0" borderId="34" xfId="0" applyFont="1" applyBorder="1" applyAlignment="1" applyProtection="1">
      <alignment vertical="center"/>
      <protection/>
    </xf>
    <xf numFmtId="2" fontId="5" fillId="0" borderId="20" xfId="0" applyNumberFormat="1" applyFont="1" applyBorder="1" applyAlignment="1" applyProtection="1">
      <alignment horizontal="center"/>
      <protection locked="0"/>
    </xf>
    <xf numFmtId="164" fontId="9" fillId="0" borderId="11" xfId="0" applyNumberFormat="1" applyFont="1" applyBorder="1" applyAlignment="1">
      <alignment horizontal="right"/>
    </xf>
    <xf numFmtId="0" fontId="0" fillId="0" borderId="0" xfId="0" applyAlignment="1">
      <alignment horizontal="center"/>
    </xf>
    <xf numFmtId="0" fontId="0" fillId="0" borderId="0" xfId="0" applyFont="1" applyAlignment="1">
      <alignment/>
    </xf>
    <xf numFmtId="0" fontId="0" fillId="0" borderId="0" xfId="0" applyBorder="1" applyAlignment="1">
      <alignment horizontal="center"/>
    </xf>
    <xf numFmtId="0" fontId="0" fillId="0" borderId="11" xfId="0" applyBorder="1" applyAlignment="1">
      <alignment horizontal="center"/>
    </xf>
    <xf numFmtId="0" fontId="6" fillId="0" borderId="11" xfId="0" applyFont="1" applyBorder="1" applyAlignment="1" applyProtection="1">
      <alignment horizontal="center"/>
      <protection locked="0"/>
    </xf>
    <xf numFmtId="0" fontId="7" fillId="0" borderId="11" xfId="0" applyFont="1" applyBorder="1" applyAlignment="1">
      <alignment horizontal="center" wrapText="1"/>
    </xf>
    <xf numFmtId="0" fontId="7" fillId="0" borderId="11" xfId="0" applyFont="1" applyBorder="1" applyAlignment="1">
      <alignment horizontal="center"/>
    </xf>
    <xf numFmtId="0" fontId="11" fillId="0" borderId="11" xfId="0" applyFont="1" applyBorder="1" applyAlignment="1">
      <alignment horizontal="center"/>
    </xf>
    <xf numFmtId="0" fontId="0" fillId="0" borderId="11" xfId="0" applyFont="1" applyBorder="1" applyAlignment="1">
      <alignment horizontal="center"/>
    </xf>
    <xf numFmtId="0" fontId="6" fillId="0" borderId="11" xfId="0" applyFont="1" applyBorder="1" applyAlignment="1" applyProtection="1">
      <alignment horizontal="center" wrapText="1"/>
      <protection locked="0"/>
    </xf>
    <xf numFmtId="0" fontId="0" fillId="0" borderId="35" xfId="0" applyBorder="1" applyAlignment="1">
      <alignment horizontal="center"/>
    </xf>
    <xf numFmtId="0" fontId="4" fillId="0" borderId="35" xfId="0" applyFont="1" applyBorder="1" applyAlignment="1">
      <alignment/>
    </xf>
    <xf numFmtId="0" fontId="6" fillId="0" borderId="36" xfId="0" applyFont="1" applyBorder="1" applyAlignment="1" applyProtection="1">
      <alignment horizontal="center"/>
      <protection locked="0"/>
    </xf>
    <xf numFmtId="0" fontId="7" fillId="0" borderId="36" xfId="0" applyFont="1" applyBorder="1" applyAlignment="1">
      <alignment horizontal="center" wrapText="1"/>
    </xf>
    <xf numFmtId="0" fontId="7" fillId="0" borderId="36" xfId="0" applyFont="1" applyBorder="1" applyAlignment="1">
      <alignment horizontal="center"/>
    </xf>
    <xf numFmtId="0" fontId="0" fillId="0" borderId="37" xfId="0" applyBorder="1" applyAlignment="1">
      <alignment horizontal="center"/>
    </xf>
    <xf numFmtId="0" fontId="2" fillId="0" borderId="14" xfId="0" applyFont="1" applyBorder="1" applyAlignment="1">
      <alignment/>
    </xf>
    <xf numFmtId="0" fontId="4" fillId="0" borderId="14" xfId="0" applyFont="1" applyBorder="1" applyAlignment="1">
      <alignment/>
    </xf>
    <xf numFmtId="0" fontId="0" fillId="0" borderId="38" xfId="0" applyBorder="1" applyAlignment="1">
      <alignment horizontal="center"/>
    </xf>
    <xf numFmtId="0" fontId="0" fillId="0" borderId="37" xfId="0" applyBorder="1" applyAlignment="1">
      <alignment/>
    </xf>
    <xf numFmtId="0" fontId="2" fillId="0" borderId="39" xfId="0" applyFont="1" applyBorder="1" applyAlignment="1">
      <alignment/>
    </xf>
    <xf numFmtId="0" fontId="0" fillId="0" borderId="14" xfId="0" applyBorder="1" applyAlignment="1">
      <alignment horizontal="center"/>
    </xf>
    <xf numFmtId="0" fontId="0" fillId="0" borderId="39" xfId="0" applyBorder="1" applyAlignment="1">
      <alignment horizontal="center"/>
    </xf>
    <xf numFmtId="0" fontId="9" fillId="0" borderId="40" xfId="0" applyFont="1" applyBorder="1" applyAlignment="1">
      <alignment horizontal="center"/>
    </xf>
    <xf numFmtId="0" fontId="9" fillId="0" borderId="18" xfId="0" applyFont="1" applyBorder="1" applyAlignment="1">
      <alignment horizontal="center"/>
    </xf>
    <xf numFmtId="0" fontId="0" fillId="0" borderId="41" xfId="0" applyFont="1" applyBorder="1" applyAlignment="1">
      <alignment horizontal="center"/>
    </xf>
    <xf numFmtId="0" fontId="18" fillId="0" borderId="41" xfId="0" applyFont="1" applyBorder="1" applyAlignment="1">
      <alignment/>
    </xf>
    <xf numFmtId="0" fontId="18" fillId="0" borderId="42" xfId="0" applyFont="1" applyBorder="1" applyAlignment="1">
      <alignment/>
    </xf>
    <xf numFmtId="4" fontId="9" fillId="33" borderId="43" xfId="0" applyNumberFormat="1" applyFont="1" applyFill="1" applyBorder="1" applyAlignment="1">
      <alignment horizontal="center"/>
    </xf>
    <xf numFmtId="0" fontId="2" fillId="0" borderId="41" xfId="0" applyFont="1" applyBorder="1" applyAlignment="1">
      <alignment horizontal="center" vertical="center"/>
    </xf>
    <xf numFmtId="0" fontId="4" fillId="0" borderId="44" xfId="0" applyFont="1" applyBorder="1" applyAlignment="1" applyProtection="1">
      <alignment vertical="center"/>
      <protection/>
    </xf>
    <xf numFmtId="0" fontId="7" fillId="0" borderId="45" xfId="0" applyFont="1" applyBorder="1" applyAlignment="1" applyProtection="1">
      <alignment vertical="center"/>
      <protection/>
    </xf>
    <xf numFmtId="0" fontId="7" fillId="0" borderId="46" xfId="0" applyFont="1" applyBorder="1" applyAlignment="1" applyProtection="1">
      <alignment vertical="center"/>
      <protection/>
    </xf>
    <xf numFmtId="0" fontId="3" fillId="0" borderId="44" xfId="0" applyFont="1" applyBorder="1" applyAlignment="1" applyProtection="1">
      <alignment horizontal="center" vertical="center"/>
      <protection/>
    </xf>
    <xf numFmtId="0" fontId="14" fillId="34" borderId="47" xfId="0" applyFont="1" applyFill="1" applyBorder="1" applyAlignment="1" applyProtection="1">
      <alignment horizontal="center" vertical="center"/>
      <protection/>
    </xf>
    <xf numFmtId="0" fontId="14" fillId="35" borderId="47" xfId="0" applyFont="1" applyFill="1" applyBorder="1" applyAlignment="1" applyProtection="1">
      <alignment horizontal="center" vertical="center"/>
      <protection/>
    </xf>
    <xf numFmtId="0" fontId="14" fillId="36" borderId="47" xfId="0" applyFont="1" applyFill="1" applyBorder="1" applyAlignment="1" applyProtection="1">
      <alignment horizontal="center" vertical="center"/>
      <protection/>
    </xf>
    <xf numFmtId="0" fontId="13" fillId="0" borderId="45" xfId="0" applyFont="1" applyBorder="1" applyAlignment="1" applyProtection="1">
      <alignment horizontal="center" vertical="center" textRotation="90" wrapText="1"/>
      <protection/>
    </xf>
    <xf numFmtId="0" fontId="2" fillId="0" borderId="46" xfId="0" applyFont="1" applyBorder="1" applyAlignment="1" applyProtection="1">
      <alignment horizontal="center" vertical="center"/>
      <protection/>
    </xf>
    <xf numFmtId="0" fontId="0" fillId="34" borderId="41" xfId="0" applyFont="1" applyFill="1" applyBorder="1" applyAlignment="1" applyProtection="1">
      <alignment horizontal="center" vertical="center"/>
      <protection/>
    </xf>
    <xf numFmtId="0" fontId="0" fillId="36" borderId="41" xfId="0" applyFont="1" applyFill="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0" fillId="0" borderId="0" xfId="0" applyFont="1" applyAlignment="1">
      <alignment/>
    </xf>
    <xf numFmtId="0" fontId="0" fillId="0" borderId="0" xfId="0" applyFont="1" applyBorder="1" applyAlignment="1" applyProtection="1">
      <alignment/>
      <protection/>
    </xf>
    <xf numFmtId="0" fontId="4" fillId="0" borderId="0" xfId="0" applyFont="1" applyBorder="1" applyAlignment="1" applyProtection="1">
      <alignment vertical="center"/>
      <protection/>
    </xf>
    <xf numFmtId="0" fontId="7" fillId="0" borderId="13" xfId="0" applyFont="1" applyBorder="1" applyAlignment="1">
      <alignment horizontal="center"/>
    </xf>
    <xf numFmtId="0" fontId="4" fillId="0" borderId="0" xfId="0" applyFont="1" applyAlignment="1" applyProtection="1">
      <alignment horizontal="right" vertical="center"/>
      <protection/>
    </xf>
    <xf numFmtId="0" fontId="4"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4" fillId="0" borderId="49"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4" fillId="0" borderId="50" xfId="0" applyFont="1" applyBorder="1" applyAlignment="1" applyProtection="1">
      <alignment vertical="center"/>
      <protection/>
    </xf>
    <xf numFmtId="0" fontId="9" fillId="0" borderId="0" xfId="0" applyFont="1" applyAlignment="1">
      <alignment vertical="center"/>
    </xf>
    <xf numFmtId="0" fontId="4" fillId="0" borderId="51" xfId="0" applyFont="1" applyBorder="1" applyAlignment="1" applyProtection="1">
      <alignment vertical="center"/>
      <protection/>
    </xf>
    <xf numFmtId="0" fontId="9" fillId="0" borderId="52" xfId="0" applyFont="1" applyBorder="1" applyAlignment="1" applyProtection="1">
      <alignment horizontal="center" vertical="center"/>
      <protection/>
    </xf>
    <xf numFmtId="0" fontId="4" fillId="0" borderId="53" xfId="0" applyFont="1" applyBorder="1" applyAlignment="1" applyProtection="1">
      <alignment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50"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37" borderId="50" xfId="0" applyFont="1" applyFill="1" applyBorder="1" applyAlignment="1" applyProtection="1">
      <alignment horizontal="center" vertical="center"/>
      <protection/>
    </xf>
    <xf numFmtId="0" fontId="9" fillId="37" borderId="56" xfId="0" applyFont="1" applyFill="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57" xfId="0" applyFont="1" applyBorder="1" applyAlignment="1" applyProtection="1">
      <alignment horizontal="center" vertical="center"/>
      <protection/>
    </xf>
    <xf numFmtId="0" fontId="4" fillId="37" borderId="58"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9" xfId="0" applyFont="1" applyFill="1" applyBorder="1" applyAlignment="1">
      <alignment horizontal="center" vertical="center"/>
    </xf>
    <xf numFmtId="0" fontId="4" fillId="37" borderId="58" xfId="0" applyFont="1" applyFill="1" applyBorder="1" applyAlignment="1">
      <alignment vertical="center"/>
    </xf>
    <xf numFmtId="0" fontId="4" fillId="37" borderId="23" xfId="0" applyFont="1" applyFill="1" applyBorder="1" applyAlignment="1">
      <alignment vertical="center"/>
    </xf>
    <xf numFmtId="0" fontId="4" fillId="37" borderId="59" xfId="0" applyFont="1" applyFill="1" applyBorder="1" applyAlignment="1">
      <alignment vertical="center"/>
    </xf>
    <xf numFmtId="0" fontId="9" fillId="0" borderId="18" xfId="0" applyFont="1" applyBorder="1" applyAlignment="1" applyProtection="1">
      <alignment horizontal="center" vertical="center"/>
      <protection/>
    </xf>
    <xf numFmtId="0" fontId="4" fillId="37" borderId="60" xfId="0" applyFont="1" applyFill="1" applyBorder="1" applyAlignment="1">
      <alignment vertical="center"/>
    </xf>
    <xf numFmtId="0" fontId="4" fillId="37" borderId="18" xfId="0" applyFont="1" applyFill="1" applyBorder="1" applyAlignment="1">
      <alignment vertical="center"/>
    </xf>
    <xf numFmtId="0" fontId="4" fillId="37" borderId="56" xfId="0" applyFont="1" applyFill="1" applyBorder="1" applyAlignment="1">
      <alignment vertical="center"/>
    </xf>
    <xf numFmtId="0" fontId="9" fillId="0" borderId="61"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5" fillId="0" borderId="50"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xf>
    <xf numFmtId="0" fontId="4" fillId="0" borderId="61" xfId="0" applyFont="1" applyBorder="1" applyAlignment="1" applyProtection="1">
      <alignment vertical="center"/>
      <protection/>
    </xf>
    <xf numFmtId="0" fontId="4" fillId="0" borderId="54" xfId="0" applyFont="1" applyBorder="1" applyAlignment="1" applyProtection="1">
      <alignment vertical="center"/>
      <protection/>
    </xf>
    <xf numFmtId="0" fontId="9" fillId="0" borderId="0" xfId="0" applyFont="1" applyBorder="1" applyAlignment="1" applyProtection="1">
      <alignment vertical="center"/>
      <protection locked="0"/>
    </xf>
    <xf numFmtId="0" fontId="16" fillId="0" borderId="52"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9" fillId="37" borderId="55" xfId="0" applyFont="1" applyFill="1" applyBorder="1" applyAlignment="1" applyProtection="1">
      <alignment horizontal="center" vertical="center"/>
      <protection/>
    </xf>
    <xf numFmtId="0" fontId="9" fillId="0" borderId="59" xfId="0" applyFont="1" applyBorder="1" applyAlignment="1" applyProtection="1">
      <alignment horizontal="center" vertical="center"/>
      <protection/>
    </xf>
    <xf numFmtId="0" fontId="9" fillId="37" borderId="12" xfId="0" applyFont="1" applyFill="1" applyBorder="1" applyAlignment="1" applyProtection="1">
      <alignment horizontal="center" vertical="center"/>
      <protection/>
    </xf>
    <xf numFmtId="0" fontId="9" fillId="37" borderId="18" xfId="0" applyFont="1" applyFill="1" applyBorder="1" applyAlignment="1" applyProtection="1">
      <alignment horizontal="center" vertical="center"/>
      <protection/>
    </xf>
    <xf numFmtId="0" fontId="9" fillId="37" borderId="23" xfId="0" applyFont="1" applyFill="1" applyBorder="1" applyAlignment="1" applyProtection="1">
      <alignment horizontal="center" vertical="center"/>
      <protection/>
    </xf>
    <xf numFmtId="0" fontId="9" fillId="37" borderId="57" xfId="0" applyFont="1" applyFill="1" applyBorder="1" applyAlignment="1" applyProtection="1">
      <alignment horizontal="center" vertical="center"/>
      <protection/>
    </xf>
    <xf numFmtId="0" fontId="9" fillId="37" borderId="53" xfId="0" applyFont="1" applyFill="1" applyBorder="1" applyAlignment="1" applyProtection="1">
      <alignment horizontal="center" vertical="center"/>
      <protection/>
    </xf>
    <xf numFmtId="0" fontId="9" fillId="37" borderId="61" xfId="0" applyFont="1" applyFill="1" applyBorder="1" applyAlignment="1" applyProtection="1">
      <alignment horizontal="center" vertical="center"/>
      <protection/>
    </xf>
    <xf numFmtId="0" fontId="9" fillId="37" borderId="54" xfId="0" applyFont="1" applyFill="1" applyBorder="1" applyAlignment="1" applyProtection="1">
      <alignment horizontal="center" vertical="center"/>
      <protection/>
    </xf>
    <xf numFmtId="0" fontId="9" fillId="37" borderId="62" xfId="0" applyFont="1" applyFill="1" applyBorder="1" applyAlignment="1" applyProtection="1">
      <alignment horizontal="center" vertical="center"/>
      <protection/>
    </xf>
    <xf numFmtId="0" fontId="5" fillId="0" borderId="54" xfId="0" applyFont="1" applyBorder="1" applyAlignment="1" applyProtection="1">
      <alignment horizontal="center" vertical="center"/>
      <protection locked="0"/>
    </xf>
    <xf numFmtId="0" fontId="4" fillId="0" borderId="63"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26" fillId="0" borderId="0" xfId="0" applyFont="1" applyBorder="1" applyAlignment="1" applyProtection="1">
      <alignment horizontal="center"/>
      <protection/>
    </xf>
    <xf numFmtId="0" fontId="0" fillId="0" borderId="0" xfId="0" applyFont="1" applyAlignment="1" applyProtection="1">
      <alignment horizontal="right"/>
      <protection/>
    </xf>
    <xf numFmtId="0" fontId="7" fillId="0" borderId="0" xfId="0" applyFont="1" applyBorder="1" applyAlignment="1" applyProtection="1">
      <alignment horizontal="center"/>
      <protection/>
    </xf>
    <xf numFmtId="0" fontId="0" fillId="0" borderId="0" xfId="0" applyFont="1" applyAlignment="1" applyProtection="1">
      <alignment/>
      <protection/>
    </xf>
    <xf numFmtId="0" fontId="7" fillId="0" borderId="23" xfId="0" applyFont="1" applyBorder="1" applyAlignment="1" applyProtection="1">
      <alignment horizontal="center"/>
      <protection/>
    </xf>
    <xf numFmtId="3" fontId="7" fillId="0" borderId="0" xfId="0" applyNumberFormat="1" applyFont="1" applyBorder="1" applyAlignment="1" applyProtection="1">
      <alignment/>
      <protection/>
    </xf>
    <xf numFmtId="17" fontId="17" fillId="0" borderId="15" xfId="0" applyNumberFormat="1" applyFont="1" applyBorder="1" applyAlignment="1" applyProtection="1">
      <alignment/>
      <protection locked="0"/>
    </xf>
    <xf numFmtId="17" fontId="17" fillId="0" borderId="22" xfId="0" applyNumberFormat="1" applyFont="1" applyBorder="1" applyAlignment="1" applyProtection="1">
      <alignment/>
      <protection locked="0"/>
    </xf>
    <xf numFmtId="17" fontId="4" fillId="0" borderId="21" xfId="0" applyNumberFormat="1" applyFont="1" applyBorder="1" applyAlignment="1" applyProtection="1">
      <alignment/>
      <protection locked="0"/>
    </xf>
    <xf numFmtId="2" fontId="4" fillId="0" borderId="21" xfId="0" applyNumberFormat="1" applyFont="1" applyBorder="1" applyAlignment="1" applyProtection="1">
      <alignment/>
      <protection/>
    </xf>
    <xf numFmtId="2" fontId="4" fillId="0" borderId="21" xfId="0" applyNumberFormat="1" applyFont="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Alignment="1">
      <alignment vertical="center"/>
    </xf>
    <xf numFmtId="0" fontId="4" fillId="0" borderId="0" xfId="0" applyNumberFormat="1" applyFont="1" applyBorder="1" applyAlignment="1" applyProtection="1">
      <alignment horizontal="left" vertical="center"/>
      <protection/>
    </xf>
    <xf numFmtId="0" fontId="0" fillId="0" borderId="0" xfId="0" applyAlignment="1">
      <alignment vertical="center" wrapText="1"/>
    </xf>
    <xf numFmtId="0" fontId="4" fillId="0" borderId="6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37" borderId="64" xfId="0" applyFont="1" applyFill="1" applyBorder="1" applyAlignment="1" applyProtection="1">
      <alignment horizontal="center" vertical="center" wrapText="1"/>
      <protection/>
    </xf>
    <xf numFmtId="0" fontId="4" fillId="37" borderId="65" xfId="0" applyFont="1" applyFill="1" applyBorder="1" applyAlignment="1" applyProtection="1">
      <alignment horizontal="center" vertical="center" wrapText="1"/>
      <protection/>
    </xf>
    <xf numFmtId="0" fontId="4" fillId="37" borderId="23"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6" fillId="0" borderId="66" xfId="0" applyFont="1" applyBorder="1" applyAlignment="1" applyProtection="1">
      <alignment vertical="center"/>
      <protection locked="0"/>
    </xf>
    <xf numFmtId="0" fontId="25" fillId="0" borderId="0" xfId="0" applyFont="1" applyBorder="1" applyAlignment="1">
      <alignment/>
    </xf>
    <xf numFmtId="0" fontId="13" fillId="0" borderId="0" xfId="0" applyFont="1" applyBorder="1" applyAlignment="1">
      <alignment/>
    </xf>
    <xf numFmtId="0" fontId="6" fillId="0" borderId="37" xfId="0" applyFont="1" applyBorder="1" applyAlignment="1" applyProtection="1">
      <alignment horizontal="center"/>
      <protection locked="0"/>
    </xf>
    <xf numFmtId="0" fontId="7" fillId="0" borderId="37" xfId="0" applyFont="1" applyBorder="1" applyAlignment="1">
      <alignment horizontal="center" wrapText="1"/>
    </xf>
    <xf numFmtId="0" fontId="7" fillId="0" borderId="37" xfId="0" applyFont="1" applyBorder="1" applyAlignment="1">
      <alignment horizontal="center"/>
    </xf>
    <xf numFmtId="0" fontId="2" fillId="0" borderId="13" xfId="0" applyFont="1" applyBorder="1" applyAlignment="1">
      <alignment/>
    </xf>
    <xf numFmtId="0" fontId="0" fillId="0" borderId="13" xfId="0" applyBorder="1" applyAlignment="1">
      <alignment horizontal="center"/>
    </xf>
    <xf numFmtId="0" fontId="6" fillId="0" borderId="13" xfId="0" applyFont="1" applyBorder="1" applyAlignment="1" applyProtection="1">
      <alignment horizontal="center"/>
      <protection locked="0"/>
    </xf>
    <xf numFmtId="0" fontId="7" fillId="0" borderId="13" xfId="0" applyFont="1" applyBorder="1" applyAlignment="1">
      <alignment horizontal="center" wrapText="1"/>
    </xf>
    <xf numFmtId="0" fontId="11" fillId="0" borderId="37" xfId="0" applyFont="1" applyBorder="1" applyAlignment="1">
      <alignment horizontal="center"/>
    </xf>
    <xf numFmtId="0" fontId="11" fillId="0" borderId="13" xfId="0" applyFont="1" applyBorder="1" applyAlignment="1">
      <alignment horizontal="center"/>
    </xf>
    <xf numFmtId="0" fontId="0" fillId="0" borderId="37" xfId="0" applyFont="1" applyBorder="1" applyAlignment="1">
      <alignment/>
    </xf>
    <xf numFmtId="0" fontId="4" fillId="0" borderId="0" xfId="0" applyFont="1" applyBorder="1" applyAlignment="1">
      <alignment horizontal="center"/>
    </xf>
    <xf numFmtId="0" fontId="0" fillId="0" borderId="37" xfId="0" applyBorder="1" applyAlignment="1" applyProtection="1">
      <alignment horizontal="center" wrapText="1"/>
      <protection locked="0"/>
    </xf>
    <xf numFmtId="0" fontId="0" fillId="0" borderId="13" xfId="0" applyBorder="1" applyAlignment="1" applyProtection="1">
      <alignment horizontal="center"/>
      <protection locked="0"/>
    </xf>
    <xf numFmtId="0" fontId="7" fillId="0" borderId="67" xfId="0" applyFont="1" applyBorder="1" applyAlignment="1">
      <alignment horizontal="center"/>
    </xf>
    <xf numFmtId="0" fontId="7" fillId="0" borderId="68" xfId="0" applyFont="1" applyBorder="1" applyAlignment="1">
      <alignment horizontal="center"/>
    </xf>
    <xf numFmtId="0" fontId="20" fillId="0" borderId="69" xfId="0" applyFont="1" applyBorder="1" applyAlignment="1">
      <alignment horizontal="center" textRotation="90"/>
    </xf>
    <xf numFmtId="0" fontId="27" fillId="0" borderId="69" xfId="0" applyFont="1" applyBorder="1" applyAlignment="1">
      <alignment horizontal="center" textRotation="90" wrapText="1"/>
    </xf>
    <xf numFmtId="0" fontId="27" fillId="0" borderId="69" xfId="0" applyFont="1" applyBorder="1" applyAlignment="1">
      <alignment horizontal="center" textRotation="90"/>
    </xf>
    <xf numFmtId="0" fontId="2" fillId="0" borderId="69" xfId="0" applyFont="1" applyBorder="1" applyAlignment="1">
      <alignment horizontal="center" textRotation="90"/>
    </xf>
    <xf numFmtId="0" fontId="7" fillId="0" borderId="70" xfId="0" applyFont="1" applyBorder="1" applyAlignment="1">
      <alignment horizontal="center"/>
    </xf>
    <xf numFmtId="0" fontId="0" fillId="0" borderId="0" xfId="0" applyFont="1" applyBorder="1" applyAlignment="1" applyProtection="1">
      <alignment horizontal="left" vertical="center" wrapText="1"/>
      <protection/>
    </xf>
    <xf numFmtId="3" fontId="6" fillId="0" borderId="0" xfId="0" applyNumberFormat="1" applyFont="1" applyBorder="1" applyAlignment="1" applyProtection="1">
      <alignment horizontal="right" vertical="center"/>
      <protection locked="0"/>
    </xf>
    <xf numFmtId="3" fontId="6" fillId="0" borderId="0" xfId="0" applyNumberFormat="1"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Alignment="1">
      <alignment vertical="center"/>
    </xf>
    <xf numFmtId="0" fontId="21" fillId="0" borderId="0" xfId="0"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71"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72"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0" xfId="0" applyFont="1" applyAlignment="1">
      <alignment horizontal="center" vertical="center" wrapText="1" shrinkToFit="1"/>
    </xf>
    <xf numFmtId="0" fontId="0" fillId="0" borderId="77"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horizontal="center" vertical="center"/>
      <protection/>
    </xf>
    <xf numFmtId="0" fontId="4" fillId="0" borderId="0" xfId="0" applyFont="1" applyBorder="1" applyAlignment="1">
      <alignment horizontal="center" vertical="center"/>
    </xf>
    <xf numFmtId="0" fontId="9" fillId="0" borderId="16" xfId="0" applyFont="1" applyBorder="1" applyAlignment="1">
      <alignment horizontal="center"/>
    </xf>
    <xf numFmtId="0" fontId="4" fillId="0" borderId="78" xfId="0" applyFont="1" applyBorder="1" applyAlignment="1">
      <alignment horizontal="center" vertical="center"/>
    </xf>
    <xf numFmtId="0" fontId="18" fillId="0" borderId="41" xfId="0" applyFont="1" applyBorder="1" applyAlignment="1">
      <alignment horizontal="center" vertical="center"/>
    </xf>
    <xf numFmtId="0" fontId="9" fillId="0" borderId="35" xfId="0" applyNumberFormat="1" applyFont="1" applyBorder="1" applyAlignment="1" applyProtection="1">
      <alignment horizontal="center" vertical="center"/>
      <protection/>
    </xf>
    <xf numFmtId="164" fontId="9" fillId="0" borderId="20" xfId="0" applyNumberFormat="1" applyFont="1" applyBorder="1" applyAlignment="1">
      <alignment horizontal="right" shrinkToFit="1"/>
    </xf>
    <xf numFmtId="164" fontId="9" fillId="0" borderId="22" xfId="0" applyNumberFormat="1" applyFont="1" applyBorder="1" applyAlignment="1">
      <alignment horizontal="right" shrinkToFit="1"/>
    </xf>
    <xf numFmtId="0" fontId="9" fillId="0" borderId="22" xfId="0" applyFont="1" applyBorder="1" applyAlignment="1">
      <alignment horizontal="right" shrinkToFit="1"/>
    </xf>
    <xf numFmtId="1" fontId="9" fillId="0" borderId="22" xfId="0" applyNumberFormat="1" applyFont="1" applyBorder="1" applyAlignment="1">
      <alignment horizontal="right" shrinkToFit="1"/>
    </xf>
    <xf numFmtId="1" fontId="9" fillId="0" borderId="22" xfId="0" applyNumberFormat="1" applyFont="1" applyBorder="1" applyAlignment="1">
      <alignment shrinkToFit="1"/>
    </xf>
    <xf numFmtId="2" fontId="16" fillId="0" borderId="18" xfId="0" applyNumberFormat="1" applyFont="1" applyBorder="1" applyAlignment="1">
      <alignment shrinkToFit="1"/>
    </xf>
    <xf numFmtId="164" fontId="9" fillId="0" borderId="56" xfId="0" applyNumberFormat="1" applyFont="1" applyBorder="1" applyAlignment="1">
      <alignment horizontal="right" shrinkToFit="1"/>
    </xf>
    <xf numFmtId="2" fontId="22" fillId="0" borderId="79" xfId="0" applyNumberFormat="1" applyFont="1" applyBorder="1" applyAlignment="1" applyProtection="1">
      <alignment shrinkToFit="1"/>
      <protection locked="0"/>
    </xf>
    <xf numFmtId="2" fontId="16" fillId="0" borderId="23" xfId="0" applyNumberFormat="1" applyFont="1" applyBorder="1" applyAlignment="1">
      <alignment shrinkToFit="1"/>
    </xf>
    <xf numFmtId="164" fontId="9" fillId="0" borderId="59" xfId="0" applyNumberFormat="1" applyFont="1" applyBorder="1" applyAlignment="1">
      <alignment horizontal="right" shrinkToFit="1"/>
    </xf>
    <xf numFmtId="2" fontId="22" fillId="0" borderId="80" xfId="0" applyNumberFormat="1" applyFont="1" applyBorder="1" applyAlignment="1" applyProtection="1">
      <alignment shrinkToFit="1"/>
      <protection locked="0"/>
    </xf>
    <xf numFmtId="164" fontId="9" fillId="33" borderId="59" xfId="0" applyNumberFormat="1" applyFont="1" applyFill="1" applyBorder="1" applyAlignment="1">
      <alignment horizontal="right" shrinkToFit="1"/>
    </xf>
    <xf numFmtId="4" fontId="16" fillId="33" borderId="43" xfId="0" applyNumberFormat="1" applyFont="1" applyFill="1" applyBorder="1" applyAlignment="1">
      <alignment shrinkToFit="1"/>
    </xf>
    <xf numFmtId="4" fontId="9" fillId="33" borderId="63" xfId="0" applyNumberFormat="1" applyFont="1" applyFill="1" applyBorder="1" applyAlignment="1">
      <alignment horizontal="right" shrinkToFit="1"/>
    </xf>
    <xf numFmtId="4" fontId="22" fillId="33" borderId="81" xfId="0" applyNumberFormat="1" applyFont="1" applyFill="1" applyBorder="1" applyAlignment="1" applyProtection="1">
      <alignment shrinkToFit="1"/>
      <protection locked="0"/>
    </xf>
    <xf numFmtId="0" fontId="6" fillId="0" borderId="47"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41" xfId="0" applyFont="1" applyFill="1" applyBorder="1" applyAlignment="1" applyProtection="1">
      <alignment vertical="center" shrinkToFit="1"/>
      <protection locked="0"/>
    </xf>
    <xf numFmtId="0" fontId="19" fillId="0" borderId="82" xfId="0" applyFont="1" applyFill="1" applyBorder="1" applyAlignment="1" applyProtection="1">
      <alignment horizontal="center" vertical="center" shrinkToFit="1"/>
      <protection/>
    </xf>
    <xf numFmtId="4" fontId="16" fillId="0" borderId="83" xfId="0" applyNumberFormat="1" applyFont="1" applyBorder="1" applyAlignment="1">
      <alignment shrinkToFit="1"/>
    </xf>
    <xf numFmtId="0" fontId="6" fillId="33" borderId="47" xfId="0" applyFont="1" applyFill="1" applyBorder="1" applyAlignment="1" applyProtection="1">
      <alignment vertical="center" shrinkToFit="1"/>
      <protection/>
    </xf>
    <xf numFmtId="0" fontId="6" fillId="33" borderId="23" xfId="0" applyFont="1" applyFill="1" applyBorder="1" applyAlignment="1" applyProtection="1">
      <alignment vertical="center" shrinkToFit="1"/>
      <protection/>
    </xf>
    <xf numFmtId="0" fontId="6" fillId="33" borderId="41" xfId="0" applyFont="1" applyFill="1" applyBorder="1" applyAlignment="1" applyProtection="1">
      <alignment vertical="center" shrinkToFit="1"/>
      <protection/>
    </xf>
    <xf numFmtId="164" fontId="9" fillId="0" borderId="59" xfId="0" applyNumberFormat="1" applyFont="1" applyFill="1" applyBorder="1" applyAlignment="1">
      <alignment horizontal="right" shrinkToFit="1"/>
    </xf>
    <xf numFmtId="0" fontId="19" fillId="0" borderId="69" xfId="0" applyFont="1" applyBorder="1" applyAlignment="1">
      <alignment horizontal="center" textRotation="90"/>
    </xf>
    <xf numFmtId="0" fontId="9" fillId="0" borderId="61" xfId="0" applyFont="1" applyBorder="1" applyAlignment="1">
      <alignment horizontal="center" vertical="center"/>
    </xf>
    <xf numFmtId="0" fontId="4" fillId="0" borderId="0" xfId="0" applyFont="1" applyAlignment="1">
      <alignment horizontal="righ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30" fillId="0" borderId="0" xfId="0" applyFont="1" applyFill="1" applyBorder="1" applyAlignment="1">
      <alignment horizontal="center" vertical="center" wrapText="1"/>
    </xf>
    <xf numFmtId="0" fontId="9" fillId="33" borderId="11" xfId="0" applyFont="1" applyFill="1" applyBorder="1" applyAlignment="1">
      <alignment/>
    </xf>
    <xf numFmtId="0" fontId="0" fillId="0" borderId="0" xfId="0" applyFont="1" applyBorder="1" applyAlignment="1" applyProtection="1">
      <alignment vertical="center"/>
      <protection/>
    </xf>
    <xf numFmtId="0" fontId="20" fillId="0" borderId="82" xfId="0" applyFont="1" applyFill="1" applyBorder="1" applyAlignment="1" applyProtection="1">
      <alignment horizontal="center" vertical="center" shrinkToFit="1"/>
      <protection locked="0"/>
    </xf>
    <xf numFmtId="164" fontId="9" fillId="0" borderId="22" xfId="0" applyNumberFormat="1" applyFont="1" applyFill="1" applyBorder="1" applyAlignment="1">
      <alignment horizontal="right" shrinkToFit="1"/>
    </xf>
    <xf numFmtId="1" fontId="9" fillId="0" borderId="22" xfId="0" applyNumberFormat="1" applyFont="1" applyFill="1" applyBorder="1" applyAlignment="1">
      <alignment horizontal="right" shrinkToFit="1"/>
    </xf>
    <xf numFmtId="0" fontId="0" fillId="0" borderId="0" xfId="0" applyFont="1" applyBorder="1" applyAlignment="1">
      <alignment vertical="center" wrapText="1"/>
    </xf>
    <xf numFmtId="0" fontId="20" fillId="0" borderId="84"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9" fillId="0" borderId="40" xfId="0" applyFont="1" applyFill="1" applyBorder="1" applyAlignment="1">
      <alignment horizontal="center"/>
    </xf>
    <xf numFmtId="4" fontId="16" fillId="0" borderId="83" xfId="0" applyNumberFormat="1" applyFont="1" applyFill="1" applyBorder="1" applyAlignment="1">
      <alignment shrinkToFit="1"/>
    </xf>
    <xf numFmtId="164" fontId="9" fillId="0" borderId="22" xfId="0" applyNumberFormat="1" applyFont="1" applyFill="1" applyBorder="1" applyAlignment="1">
      <alignment shrinkToFit="1"/>
    </xf>
    <xf numFmtId="0" fontId="9" fillId="0" borderId="22" xfId="0" applyNumberFormat="1" applyFont="1" applyBorder="1" applyAlignment="1">
      <alignment horizontal="right" shrinkToFit="1"/>
    </xf>
    <xf numFmtId="4" fontId="22" fillId="0" borderId="86" xfId="0" applyNumberFormat="1" applyFont="1" applyBorder="1" applyAlignment="1" applyProtection="1">
      <alignment shrinkToFit="1"/>
      <protection locked="0"/>
    </xf>
    <xf numFmtId="4" fontId="22" fillId="0" borderId="87" xfId="0" applyNumberFormat="1" applyFont="1" applyFill="1" applyBorder="1" applyAlignment="1" applyProtection="1">
      <alignment shrinkToFit="1"/>
      <protection locked="0"/>
    </xf>
    <xf numFmtId="4" fontId="22" fillId="0" borderId="87" xfId="0" applyNumberFormat="1" applyFont="1" applyBorder="1" applyAlignment="1" applyProtection="1">
      <alignment shrinkToFit="1"/>
      <protection locked="0"/>
    </xf>
    <xf numFmtId="2" fontId="22" fillId="0" borderId="87" xfId="0" applyNumberFormat="1" applyFont="1" applyBorder="1" applyAlignment="1" applyProtection="1">
      <alignment shrinkToFit="1"/>
      <protection locked="0"/>
    </xf>
    <xf numFmtId="4" fontId="16" fillId="0" borderId="88" xfId="0" applyNumberFormat="1" applyFont="1" applyBorder="1" applyAlignment="1">
      <alignment shrinkToFit="1"/>
    </xf>
    <xf numFmtId="164" fontId="9" fillId="0" borderId="89" xfId="0" applyNumberFormat="1" applyFont="1" applyBorder="1" applyAlignment="1">
      <alignment horizontal="right" shrinkToFit="1"/>
    </xf>
    <xf numFmtId="2" fontId="16" fillId="0" borderId="83" xfId="0" applyNumberFormat="1" applyFont="1" applyBorder="1" applyAlignment="1">
      <alignment shrinkToFit="1"/>
    </xf>
    <xf numFmtId="0" fontId="9" fillId="33" borderId="22" xfId="0" applyNumberFormat="1" applyFont="1" applyFill="1" applyBorder="1" applyAlignment="1" applyProtection="1">
      <alignment horizontal="right" shrinkToFit="1"/>
      <protection/>
    </xf>
    <xf numFmtId="0" fontId="9" fillId="33" borderId="90" xfId="0" applyNumberFormat="1" applyFont="1" applyFill="1" applyBorder="1" applyAlignment="1" applyProtection="1">
      <alignment horizontal="center"/>
      <protection/>
    </xf>
    <xf numFmtId="0" fontId="16" fillId="33" borderId="91" xfId="0" applyNumberFormat="1" applyFont="1" applyFill="1" applyBorder="1" applyAlignment="1" applyProtection="1">
      <alignment shrinkToFit="1"/>
      <protection/>
    </xf>
    <xf numFmtId="0" fontId="9" fillId="33" borderId="92" xfId="0" applyNumberFormat="1" applyFont="1" applyFill="1" applyBorder="1" applyAlignment="1" applyProtection="1">
      <alignment horizontal="right" shrinkToFit="1"/>
      <protection/>
    </xf>
    <xf numFmtId="0" fontId="0" fillId="33" borderId="63" xfId="0" applyNumberFormat="1" applyFont="1" applyFill="1" applyBorder="1" applyAlignment="1" applyProtection="1">
      <alignment/>
      <protection/>
    </xf>
    <xf numFmtId="0" fontId="16" fillId="33" borderId="93" xfId="0" applyNumberFormat="1" applyFont="1" applyFill="1" applyBorder="1" applyAlignment="1" applyProtection="1">
      <alignment shrinkToFit="1"/>
      <protection/>
    </xf>
    <xf numFmtId="0" fontId="9" fillId="33" borderId="43" xfId="0" applyNumberFormat="1" applyFont="1" applyFill="1" applyBorder="1" applyAlignment="1" applyProtection="1">
      <alignment horizontal="right" shrinkToFit="1"/>
      <protection/>
    </xf>
    <xf numFmtId="0" fontId="0" fillId="33" borderId="59" xfId="0" applyNumberFormat="1" applyFont="1" applyFill="1" applyBorder="1" applyAlignment="1" applyProtection="1">
      <alignment/>
      <protection/>
    </xf>
    <xf numFmtId="0" fontId="7" fillId="33" borderId="46" xfId="0" applyNumberFormat="1" applyFont="1" applyFill="1" applyBorder="1" applyAlignment="1" applyProtection="1">
      <alignment shrinkToFit="1"/>
      <protection/>
    </xf>
    <xf numFmtId="0" fontId="9" fillId="33" borderId="41" xfId="0" applyNumberFormat="1" applyFont="1" applyFill="1" applyBorder="1" applyAlignment="1" applyProtection="1">
      <alignment horizontal="right" shrinkToFit="1"/>
      <protection/>
    </xf>
    <xf numFmtId="0" fontId="16" fillId="33" borderId="43" xfId="0" applyNumberFormat="1" applyFont="1" applyFill="1" applyBorder="1" applyAlignment="1" applyProtection="1">
      <alignment horizontal="right" shrinkToFit="1"/>
      <protection/>
    </xf>
    <xf numFmtId="0" fontId="22" fillId="33" borderId="94" xfId="0" applyNumberFormat="1" applyFont="1" applyFill="1" applyBorder="1" applyAlignment="1" applyProtection="1">
      <alignment shrinkToFit="1"/>
      <protection/>
    </xf>
    <xf numFmtId="0" fontId="16" fillId="33" borderId="95" xfId="0" applyNumberFormat="1" applyFont="1" applyFill="1" applyBorder="1" applyAlignment="1" applyProtection="1">
      <alignment shrinkToFit="1"/>
      <protection/>
    </xf>
    <xf numFmtId="0" fontId="7" fillId="33" borderId="96" xfId="0" applyNumberFormat="1" applyFont="1" applyFill="1" applyBorder="1" applyAlignment="1" applyProtection="1">
      <alignment shrinkToFit="1"/>
      <protection/>
    </xf>
    <xf numFmtId="0" fontId="31" fillId="0" borderId="0" xfId="0" applyFont="1" applyBorder="1" applyAlignment="1">
      <alignment/>
    </xf>
    <xf numFmtId="0" fontId="31" fillId="0" borderId="0" xfId="0" applyFont="1" applyBorder="1" applyAlignment="1">
      <alignment vertical="center"/>
    </xf>
    <xf numFmtId="0" fontId="31" fillId="0" borderId="0" xfId="0" applyFont="1" applyAlignment="1">
      <alignment vertical="center"/>
    </xf>
    <xf numFmtId="0" fontId="6" fillId="0" borderId="41" xfId="0" applyFont="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xf>
    <xf numFmtId="0" fontId="31" fillId="0" borderId="0" xfId="0" applyFont="1" applyBorder="1" applyAlignment="1">
      <alignment horizontal="center" vertical="center"/>
    </xf>
    <xf numFmtId="0" fontId="31" fillId="0" borderId="0" xfId="0" applyFont="1" applyAlignment="1">
      <alignment horizontal="center" vertical="center"/>
    </xf>
    <xf numFmtId="0" fontId="31" fillId="0" borderId="0" xfId="0" applyFont="1" applyFill="1" applyAlignment="1" quotePrefix="1">
      <alignment horizontal="center" vertical="center"/>
    </xf>
    <xf numFmtId="0" fontId="31" fillId="0" borderId="0" xfId="0" applyFont="1" applyFill="1" applyBorder="1" applyAlignment="1">
      <alignment/>
    </xf>
    <xf numFmtId="0" fontId="31" fillId="0" borderId="0" xfId="0" applyFont="1" applyFill="1" applyBorder="1" applyAlignment="1">
      <alignment horizontal="center"/>
    </xf>
    <xf numFmtId="0" fontId="31" fillId="0" borderId="0" xfId="0" applyFont="1" applyBorder="1" applyAlignment="1">
      <alignment/>
    </xf>
    <xf numFmtId="0" fontId="31" fillId="0" borderId="0" xfId="0" applyFont="1" applyAlignment="1">
      <alignment horizontal="centerContinuous" vertical="center"/>
    </xf>
    <xf numFmtId="0" fontId="31" fillId="0" borderId="0" xfId="0" applyFont="1" applyBorder="1" applyAlignment="1">
      <alignment horizontal="centerContinuous" vertical="center"/>
    </xf>
    <xf numFmtId="0" fontId="2" fillId="0" borderId="0" xfId="0" applyFont="1" applyAlignment="1">
      <alignment vertical="center"/>
    </xf>
    <xf numFmtId="0" fontId="22" fillId="0" borderId="47" xfId="0" applyFont="1" applyBorder="1" applyAlignment="1" applyProtection="1">
      <alignment horizontal="center" vertical="center"/>
      <protection locked="0"/>
    </xf>
    <xf numFmtId="0" fontId="9" fillId="0" borderId="23" xfId="0" applyFont="1" applyBorder="1" applyAlignment="1">
      <alignment horizontal="center"/>
    </xf>
    <xf numFmtId="2" fontId="16" fillId="0" borderId="23" xfId="0" applyNumberFormat="1" applyFont="1" applyBorder="1" applyAlignment="1">
      <alignment/>
    </xf>
    <xf numFmtId="164" fontId="9" fillId="0" borderId="97" xfId="0" applyNumberFormat="1" applyFont="1" applyBorder="1" applyAlignment="1">
      <alignment/>
    </xf>
    <xf numFmtId="170" fontId="27" fillId="0" borderId="70" xfId="0" applyNumberFormat="1" applyFont="1" applyBorder="1" applyAlignment="1">
      <alignment horizontal="center" wrapText="1"/>
    </xf>
    <xf numFmtId="0" fontId="27" fillId="0" borderId="70" xfId="0" applyFont="1" applyBorder="1" applyAlignment="1">
      <alignment wrapText="1"/>
    </xf>
    <xf numFmtId="0" fontId="27" fillId="0" borderId="98" xfId="0" applyFont="1" applyBorder="1" applyAlignment="1">
      <alignment horizontal="center" wrapText="1"/>
    </xf>
    <xf numFmtId="170" fontId="19" fillId="0" borderId="99" xfId="0" applyNumberFormat="1" applyFont="1" applyBorder="1" applyAlignment="1">
      <alignment horizontal="center" wrapText="1"/>
    </xf>
    <xf numFmtId="0" fontId="19" fillId="0" borderId="70" xfId="0" applyFont="1" applyBorder="1" applyAlignment="1">
      <alignment wrapText="1"/>
    </xf>
    <xf numFmtId="0" fontId="19" fillId="0" borderId="70" xfId="0" applyFont="1" applyBorder="1" applyAlignment="1">
      <alignment horizontal="center" wrapText="1"/>
    </xf>
    <xf numFmtId="0" fontId="0" fillId="0" borderId="0" xfId="0" applyAlignment="1">
      <alignment/>
    </xf>
    <xf numFmtId="170" fontId="7" fillId="0" borderId="0" xfId="0" applyNumberFormat="1" applyFont="1" applyAlignment="1">
      <alignment/>
    </xf>
    <xf numFmtId="0" fontId="7" fillId="0" borderId="0" xfId="0" applyFont="1" applyAlignment="1">
      <alignment/>
    </xf>
    <xf numFmtId="0" fontId="7" fillId="0" borderId="100" xfId="0" applyFont="1" applyBorder="1" applyAlignment="1">
      <alignment/>
    </xf>
    <xf numFmtId="170" fontId="11" fillId="0" borderId="101" xfId="0" applyNumberFormat="1" applyFont="1" applyBorder="1" applyAlignment="1">
      <alignment/>
    </xf>
    <xf numFmtId="0" fontId="11" fillId="0" borderId="0" xfId="0" applyFont="1" applyAlignment="1">
      <alignment/>
    </xf>
    <xf numFmtId="0" fontId="11" fillId="0" borderId="101" xfId="0" applyFont="1" applyBorder="1" applyAlignment="1">
      <alignment/>
    </xf>
    <xf numFmtId="170" fontId="7" fillId="0" borderId="0" xfId="0" applyNumberFormat="1" applyFont="1" applyFill="1" applyAlignment="1">
      <alignment/>
    </xf>
    <xf numFmtId="0" fontId="7" fillId="0" borderId="0" xfId="0" applyFont="1" applyFill="1" applyAlignment="1">
      <alignment/>
    </xf>
    <xf numFmtId="0" fontId="7" fillId="38" borderId="100" xfId="0" applyFont="1" applyFill="1" applyBorder="1" applyAlignment="1">
      <alignment/>
    </xf>
    <xf numFmtId="170" fontId="11" fillId="0" borderId="101" xfId="0" applyNumberFormat="1"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0" xfId="0" applyAlignment="1" quotePrefix="1">
      <alignment vertical="center"/>
    </xf>
    <xf numFmtId="0" fontId="6" fillId="35" borderId="23" xfId="0"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Border="1" applyAlignment="1">
      <alignment vertical="center"/>
    </xf>
    <xf numFmtId="0" fontId="0" fillId="0" borderId="0" xfId="0" applyFill="1" applyBorder="1" applyAlignment="1" quotePrefix="1">
      <alignment vertical="center"/>
    </xf>
    <xf numFmtId="0" fontId="0" fillId="0" borderId="0" xfId="0" applyFill="1" applyBorder="1" applyAlignment="1">
      <alignment vertical="center"/>
    </xf>
    <xf numFmtId="0" fontId="6" fillId="0" borderId="65"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12" xfId="0" applyFill="1" applyBorder="1" applyAlignment="1">
      <alignment vertical="center"/>
    </xf>
    <xf numFmtId="0" fontId="0" fillId="0" borderId="102" xfId="0" applyFill="1" applyBorder="1" applyAlignment="1">
      <alignment vertical="center"/>
    </xf>
    <xf numFmtId="0" fontId="0" fillId="0" borderId="0" xfId="0" applyFill="1" applyBorder="1" applyAlignment="1">
      <alignment vertical="center" wrapText="1"/>
    </xf>
    <xf numFmtId="0" fontId="0" fillId="0" borderId="102" xfId="0"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23" xfId="0" applyBorder="1" applyAlignment="1" applyProtection="1">
      <alignment vertical="center"/>
      <protection/>
    </xf>
    <xf numFmtId="0" fontId="0" fillId="0" borderId="0" xfId="0" applyAlignment="1" applyProtection="1">
      <alignment/>
      <protection/>
    </xf>
    <xf numFmtId="0" fontId="0" fillId="0" borderId="59" xfId="0" applyBorder="1" applyAlignment="1" applyProtection="1">
      <alignment vertical="center"/>
      <protection/>
    </xf>
    <xf numFmtId="0" fontId="0" fillId="0" borderId="0" xfId="0" applyAlignment="1" applyProtection="1">
      <alignment textRotation="180"/>
      <protection/>
    </xf>
    <xf numFmtId="0" fontId="6" fillId="0" borderId="23" xfId="0" applyFont="1" applyFill="1" applyBorder="1" applyAlignment="1" applyProtection="1">
      <alignment horizontal="center" vertical="center"/>
      <protection locked="0"/>
    </xf>
    <xf numFmtId="0" fontId="0" fillId="0" borderId="65"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0" xfId="0" applyFont="1" applyAlignment="1" quotePrefix="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35" borderId="23"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6" fillId="0" borderId="12" xfId="0" applyFont="1" applyFill="1" applyBorder="1" applyAlignment="1" applyProtection="1">
      <alignment horizontal="center" vertical="center"/>
      <protection/>
    </xf>
    <xf numFmtId="0" fontId="6" fillId="35" borderId="23"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lignment vertical="center" wrapText="1"/>
    </xf>
    <xf numFmtId="0" fontId="6" fillId="0" borderId="12"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29" fillId="0" borderId="0" xfId="0" applyFont="1" applyAlignment="1">
      <alignment vertical="center"/>
    </xf>
    <xf numFmtId="0" fontId="0" fillId="0" borderId="0" xfId="0" applyFont="1" applyFill="1" applyAlignment="1" applyProtection="1" quotePrefix="1">
      <alignment vertical="center"/>
      <protection/>
    </xf>
    <xf numFmtId="0" fontId="0" fillId="0" borderId="10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vertical="center"/>
      <protection/>
    </xf>
    <xf numFmtId="0" fontId="6" fillId="0" borderId="65"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4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textRotation="90" wrapText="1"/>
      <protection/>
    </xf>
    <xf numFmtId="0" fontId="0" fillId="0" borderId="41"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textRotation="90" wrapText="1"/>
      <protection locked="0"/>
    </xf>
    <xf numFmtId="0" fontId="0" fillId="0" borderId="10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textRotation="90" wrapText="1"/>
      <protection/>
    </xf>
    <xf numFmtId="0" fontId="4" fillId="0" borderId="23" xfId="0" applyFont="1" applyFill="1" applyBorder="1" applyAlignment="1" applyProtection="1">
      <alignment horizontal="center" vertical="center" textRotation="90" wrapText="1" shrinkToFit="1"/>
      <protection/>
    </xf>
    <xf numFmtId="0" fontId="0" fillId="0" borderId="96"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locked="0"/>
    </xf>
    <xf numFmtId="0" fontId="0" fillId="0" borderId="0" xfId="0" applyFont="1" applyFill="1" applyAlignment="1">
      <alignment vertical="center"/>
    </xf>
    <xf numFmtId="0" fontId="6" fillId="0" borderId="104" xfId="0" applyFont="1" applyFill="1" applyBorder="1" applyAlignment="1" applyProtection="1">
      <alignment horizontal="center" vertical="center"/>
      <protection locked="0"/>
    </xf>
    <xf numFmtId="0" fontId="5" fillId="0" borderId="105" xfId="0" applyFont="1" applyFill="1" applyBorder="1" applyAlignment="1" applyProtection="1">
      <alignment horizontal="center" vertical="center" textRotation="90" wrapText="1"/>
      <protection locked="0"/>
    </xf>
    <xf numFmtId="0" fontId="6" fillId="0" borderId="78"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106" xfId="0" applyFont="1" applyFill="1" applyBorder="1" applyAlignment="1" applyProtection="1">
      <alignment horizontal="center" vertical="center"/>
      <protection locked="0"/>
    </xf>
    <xf numFmtId="0" fontId="5" fillId="0" borderId="107" xfId="0" applyFont="1" applyFill="1" applyBorder="1" applyAlignment="1" applyProtection="1">
      <alignment horizontal="center" vertical="center" textRotation="90" wrapText="1"/>
      <protection locked="0"/>
    </xf>
    <xf numFmtId="0" fontId="6" fillId="0" borderId="108" xfId="0" applyFont="1" applyFill="1" applyBorder="1" applyAlignment="1" applyProtection="1">
      <alignment horizontal="center" vertical="center"/>
      <protection locked="0"/>
    </xf>
    <xf numFmtId="0" fontId="6" fillId="0" borderId="9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0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3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NumberFormat="1" applyFont="1" applyBorder="1" applyAlignment="1" applyProtection="1">
      <alignment vertical="center"/>
      <protection/>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9" fillId="0" borderId="17" xfId="0" applyFont="1" applyBorder="1" applyAlignment="1">
      <alignment horizontal="center" vertical="center" textRotation="90" wrapText="1"/>
    </xf>
    <xf numFmtId="0" fontId="9" fillId="0" borderId="18" xfId="0" applyFont="1" applyBorder="1" applyAlignment="1">
      <alignment horizontal="center" vertical="center"/>
    </xf>
    <xf numFmtId="0" fontId="9" fillId="0" borderId="18" xfId="0" applyFont="1" applyBorder="1" applyAlignment="1">
      <alignment vertical="center"/>
    </xf>
    <xf numFmtId="0" fontId="10" fillId="0" borderId="43" xfId="0" applyFont="1" applyBorder="1" applyAlignment="1">
      <alignment vertical="center"/>
    </xf>
    <xf numFmtId="0" fontId="10" fillId="0" borderId="43" xfId="0" applyFont="1" applyBorder="1" applyAlignment="1">
      <alignment horizontal="right" vertical="center"/>
    </xf>
    <xf numFmtId="0" fontId="9" fillId="0" borderId="19"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92" xfId="0" applyFont="1" applyBorder="1" applyAlignment="1" applyProtection="1">
      <alignment horizontal="center" vertical="center"/>
      <protection/>
    </xf>
    <xf numFmtId="0" fontId="18" fillId="0" borderId="59" xfId="0" applyFont="1" applyBorder="1" applyAlignment="1" applyProtection="1">
      <alignment horizontal="center" vertical="center"/>
      <protection/>
    </xf>
    <xf numFmtId="2" fontId="22" fillId="0" borderId="110" xfId="0" applyNumberFormat="1" applyFont="1" applyBorder="1" applyAlignment="1" applyProtection="1">
      <alignment vertical="center" shrinkToFit="1"/>
      <protection locked="0"/>
    </xf>
    <xf numFmtId="2" fontId="22" fillId="0" borderId="40" xfId="0" applyNumberFormat="1" applyFont="1" applyBorder="1" applyAlignment="1" applyProtection="1">
      <alignment vertical="center" shrinkToFit="1"/>
      <protection locked="0"/>
    </xf>
    <xf numFmtId="0" fontId="9" fillId="0" borderId="111"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90" xfId="0" applyFont="1" applyBorder="1" applyAlignment="1" applyProtection="1">
      <alignment horizontal="center" vertical="center"/>
      <protection/>
    </xf>
    <xf numFmtId="0" fontId="0" fillId="0" borderId="112"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15" fillId="0" borderId="0" xfId="0" applyFont="1" applyAlignment="1" applyProtection="1">
      <alignment horizontal="center" vertical="center"/>
      <protection/>
    </xf>
    <xf numFmtId="0" fontId="15" fillId="0" borderId="0" xfId="0" applyFont="1" applyAlignment="1">
      <alignment horizontal="center" vertical="center"/>
    </xf>
    <xf numFmtId="0" fontId="30" fillId="0" borderId="0" xfId="0" applyFont="1" applyAlignment="1">
      <alignment vertical="center"/>
    </xf>
    <xf numFmtId="0" fontId="30" fillId="0" borderId="0" xfId="0" applyFont="1" applyAlignment="1" applyProtection="1">
      <alignment vertical="center"/>
      <protection/>
    </xf>
    <xf numFmtId="0" fontId="30" fillId="0" borderId="0" xfId="0" applyNumberFormat="1" applyFont="1" applyFill="1" applyBorder="1" applyAlignment="1">
      <alignment horizontal="center" vertical="center"/>
    </xf>
    <xf numFmtId="0" fontId="18" fillId="0" borderId="45"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0" fontId="4" fillId="0" borderId="102" xfId="0" applyFont="1" applyBorder="1" applyAlignment="1" applyProtection="1">
      <alignment vertical="center"/>
      <protection/>
    </xf>
    <xf numFmtId="0" fontId="18"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13" xfId="0" applyFont="1" applyBorder="1" applyAlignment="1" applyProtection="1">
      <alignment vertical="center"/>
      <protection/>
    </xf>
    <xf numFmtId="0" fontId="18" fillId="0" borderId="114" xfId="0" applyFont="1" applyBorder="1" applyAlignment="1" applyProtection="1">
      <alignment horizontal="center" vertical="center"/>
      <protection/>
    </xf>
    <xf numFmtId="164" fontId="9" fillId="33" borderId="11" xfId="0" applyNumberFormat="1" applyFont="1" applyFill="1" applyBorder="1" applyAlignment="1">
      <alignment horizontal="right"/>
    </xf>
    <xf numFmtId="0" fontId="5" fillId="0" borderId="13" xfId="0" applyFont="1" applyBorder="1" applyAlignment="1">
      <alignment horizontal="center"/>
    </xf>
    <xf numFmtId="0" fontId="5" fillId="0" borderId="14" xfId="0" applyFont="1" applyBorder="1" applyAlignment="1">
      <alignment horizontal="center"/>
    </xf>
    <xf numFmtId="164" fontId="9" fillId="0" borderId="115" xfId="0" applyNumberFormat="1" applyFont="1" applyBorder="1" applyAlignment="1" applyProtection="1">
      <alignment vertical="center" shrinkToFit="1"/>
      <protection/>
    </xf>
    <xf numFmtId="164" fontId="9" fillId="0" borderId="83" xfId="0" applyNumberFormat="1" applyFont="1" applyBorder="1" applyAlignment="1" applyProtection="1">
      <alignment vertical="center" shrinkToFit="1"/>
      <protection/>
    </xf>
    <xf numFmtId="2" fontId="22" fillId="0" borderId="90" xfId="0" applyNumberFormat="1" applyFont="1" applyBorder="1" applyAlignment="1" applyProtection="1">
      <alignment vertical="center" shrinkToFit="1"/>
      <protection locked="0"/>
    </xf>
    <xf numFmtId="164" fontId="9" fillId="0" borderId="91" xfId="0" applyNumberFormat="1" applyFont="1" applyBorder="1" applyAlignment="1" applyProtection="1">
      <alignment vertical="center" shrinkToFit="1"/>
      <protection/>
    </xf>
    <xf numFmtId="2" fontId="16" fillId="0" borderId="112" xfId="0" applyNumberFormat="1" applyFont="1" applyBorder="1" applyAlignment="1" applyProtection="1">
      <alignment vertical="center" shrinkToFit="1"/>
      <protection/>
    </xf>
    <xf numFmtId="2" fontId="16" fillId="0" borderId="65" xfId="0" applyNumberFormat="1" applyFont="1" applyBorder="1" applyAlignment="1" applyProtection="1">
      <alignment vertical="center" shrinkToFit="1"/>
      <protection/>
    </xf>
    <xf numFmtId="164" fontId="9" fillId="0" borderId="116" xfId="0" applyNumberFormat="1" applyFont="1" applyBorder="1" applyAlignment="1" applyProtection="1">
      <alignment vertical="center" shrinkToFit="1"/>
      <protection/>
    </xf>
    <xf numFmtId="2" fontId="5" fillId="0" borderId="111" xfId="0" applyNumberFormat="1" applyFont="1" applyBorder="1" applyAlignment="1" applyProtection="1">
      <alignment vertical="center" shrinkToFit="1"/>
      <protection locked="0"/>
    </xf>
    <xf numFmtId="3" fontId="10" fillId="0" borderId="117" xfId="44" applyNumberFormat="1" applyFont="1" applyBorder="1" applyAlignment="1" applyProtection="1">
      <alignment horizontal="right" vertical="center" shrinkToFit="1"/>
      <protection/>
    </xf>
    <xf numFmtId="1" fontId="9" fillId="0" borderId="83" xfId="0" applyNumberFormat="1" applyFont="1" applyBorder="1" applyAlignment="1" applyProtection="1">
      <alignment vertical="center" shrinkToFit="1"/>
      <protection/>
    </xf>
    <xf numFmtId="2" fontId="5" fillId="0" borderId="40" xfId="0" applyNumberFormat="1" applyFont="1" applyBorder="1" applyAlignment="1" applyProtection="1">
      <alignment vertical="center" shrinkToFit="1"/>
      <protection locked="0"/>
    </xf>
    <xf numFmtId="3" fontId="10" fillId="0" borderId="118" xfId="44" applyNumberFormat="1" applyFont="1" applyBorder="1" applyAlignment="1" applyProtection="1">
      <alignment horizontal="right" vertical="center" shrinkToFit="1"/>
      <protection/>
    </xf>
    <xf numFmtId="1" fontId="9" fillId="0" borderId="119" xfId="0" applyNumberFormat="1" applyFont="1" applyBorder="1" applyAlignment="1" applyProtection="1">
      <alignment vertical="center" shrinkToFit="1"/>
      <protection/>
    </xf>
    <xf numFmtId="1" fontId="5" fillId="0" borderId="22" xfId="0" applyNumberFormat="1" applyFont="1" applyBorder="1" applyAlignment="1" applyProtection="1">
      <alignment vertical="center" shrinkToFit="1"/>
      <protection locked="0"/>
    </xf>
    <xf numFmtId="1" fontId="9" fillId="0" borderId="120" xfId="0" applyNumberFormat="1" applyFont="1" applyBorder="1" applyAlignment="1" applyProtection="1">
      <alignment vertical="center" shrinkToFit="1"/>
      <protection/>
    </xf>
    <xf numFmtId="1" fontId="5" fillId="0" borderId="92" xfId="0" applyNumberFormat="1" applyFont="1" applyBorder="1" applyAlignment="1" applyProtection="1">
      <alignment vertical="center" shrinkToFit="1"/>
      <protection locked="0"/>
    </xf>
    <xf numFmtId="3" fontId="10" fillId="0" borderId="121" xfId="44" applyNumberFormat="1" applyFont="1" applyBorder="1" applyAlignment="1" applyProtection="1">
      <alignment horizontal="right" vertical="center" shrinkToFit="1"/>
      <protection/>
    </xf>
    <xf numFmtId="1" fontId="9" fillId="0" borderId="91" xfId="0" applyNumberFormat="1" applyFont="1" applyBorder="1" applyAlignment="1" applyProtection="1">
      <alignment vertical="center" shrinkToFit="1"/>
      <protection/>
    </xf>
    <xf numFmtId="4" fontId="10" fillId="0" borderId="22" xfId="0" applyNumberFormat="1" applyFont="1" applyBorder="1" applyAlignment="1" applyProtection="1">
      <alignment/>
      <protection/>
    </xf>
    <xf numFmtId="2" fontId="10" fillId="0" borderId="21" xfId="0" applyNumberFormat="1" applyFont="1" applyBorder="1" applyAlignment="1" applyProtection="1">
      <alignment/>
      <protection/>
    </xf>
    <xf numFmtId="0" fontId="0" fillId="34" borderId="23" xfId="0" applyFont="1" applyFill="1" applyBorder="1" applyAlignment="1" applyProtection="1">
      <alignment horizontal="center" vertical="center" textRotation="90" wrapText="1"/>
      <protection/>
    </xf>
    <xf numFmtId="0" fontId="0" fillId="35" borderId="23" xfId="0" applyFont="1" applyFill="1" applyBorder="1" applyAlignment="1" applyProtection="1">
      <alignment horizontal="center" vertical="center" textRotation="90" wrapText="1"/>
      <protection/>
    </xf>
    <xf numFmtId="0" fontId="0" fillId="35" borderId="23" xfId="0" applyFont="1" applyFill="1" applyBorder="1" applyAlignment="1" applyProtection="1">
      <alignment horizontal="center" vertical="center" textRotation="90" wrapText="1" shrinkToFit="1"/>
      <protection/>
    </xf>
    <xf numFmtId="0" fontId="0" fillId="36" borderId="23" xfId="0" applyFont="1" applyFill="1" applyBorder="1" applyAlignment="1" applyProtection="1">
      <alignment horizontal="center" vertical="center" textRotation="90" wrapText="1"/>
      <protection/>
    </xf>
    <xf numFmtId="0" fontId="6" fillId="0" borderId="23" xfId="0" applyFont="1" applyBorder="1" applyAlignment="1" applyProtection="1">
      <alignment horizontal="center" vertical="center" textRotation="90" wrapText="1" shrinkToFit="1"/>
      <protection locked="0"/>
    </xf>
    <xf numFmtId="0" fontId="4" fillId="0" borderId="0" xfId="0" applyFont="1" applyBorder="1" applyAlignment="1" applyProtection="1" quotePrefix="1">
      <alignment vertical="center"/>
      <protection/>
    </xf>
    <xf numFmtId="2" fontId="5" fillId="0" borderId="40" xfId="0" applyNumberFormat="1" applyFont="1" applyBorder="1" applyAlignment="1" applyProtection="1" quotePrefix="1">
      <alignment horizontal="center" vertical="center" shrinkToFit="1"/>
      <protection locked="0"/>
    </xf>
    <xf numFmtId="0" fontId="0" fillId="0" borderId="70" xfId="0" applyFont="1" applyBorder="1" applyAlignment="1">
      <alignment horizontal="center" vertical="center"/>
    </xf>
    <xf numFmtId="0" fontId="7" fillId="0" borderId="0" xfId="0" applyFont="1" applyAlignment="1">
      <alignment horizontal="center"/>
    </xf>
    <xf numFmtId="0" fontId="7" fillId="0" borderId="56" xfId="0" applyFont="1" applyBorder="1" applyAlignment="1">
      <alignment horizontal="center"/>
    </xf>
    <xf numFmtId="0" fontId="7" fillId="0" borderId="12" xfId="0" applyFont="1" applyBorder="1" applyAlignment="1">
      <alignment horizontal="center"/>
    </xf>
    <xf numFmtId="0" fontId="7" fillId="0" borderId="50" xfId="0" applyFont="1" applyBorder="1" applyAlignment="1">
      <alignment horizontal="center"/>
    </xf>
    <xf numFmtId="0" fontId="0" fillId="0" borderId="122" xfId="0" applyFont="1" applyBorder="1" applyAlignment="1" applyProtection="1">
      <alignment vertical="center"/>
      <protection locked="0"/>
    </xf>
    <xf numFmtId="0" fontId="20" fillId="0" borderId="7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3" fillId="0" borderId="114" xfId="0" applyFont="1" applyBorder="1" applyAlignment="1">
      <alignment vertical="center"/>
    </xf>
    <xf numFmtId="164" fontId="9" fillId="33" borderId="22" xfId="0" applyNumberFormat="1" applyFont="1" applyFill="1" applyBorder="1" applyAlignment="1">
      <alignment horizontal="right" shrinkToFit="1"/>
    </xf>
    <xf numFmtId="2" fontId="22" fillId="0" borderId="22" xfId="0" applyNumberFormat="1" applyFont="1" applyBorder="1" applyAlignment="1" applyProtection="1">
      <alignment shrinkToFit="1"/>
      <protection locked="0"/>
    </xf>
    <xf numFmtId="0" fontId="3" fillId="0" borderId="114" xfId="0" applyFont="1" applyBorder="1" applyAlignment="1" applyProtection="1">
      <alignment vertical="center"/>
      <protection/>
    </xf>
    <xf numFmtId="0" fontId="18" fillId="0" borderId="96" xfId="0" applyFont="1" applyBorder="1" applyAlignment="1" applyProtection="1">
      <alignment horizontal="center" vertical="center"/>
      <protection/>
    </xf>
    <xf numFmtId="0" fontId="0" fillId="0" borderId="0" xfId="0" applyAlignment="1">
      <alignment horizontal="left"/>
    </xf>
    <xf numFmtId="3" fontId="0" fillId="0" borderId="0" xfId="0" applyNumberFormat="1" applyAlignment="1">
      <alignment/>
    </xf>
    <xf numFmtId="167" fontId="0" fillId="0" borderId="0" xfId="0" applyNumberFormat="1" applyAlignment="1">
      <alignment/>
    </xf>
    <xf numFmtId="2" fontId="0" fillId="0" borderId="0" xfId="0" applyNumberFormat="1" applyAlignment="1">
      <alignment/>
    </xf>
    <xf numFmtId="0" fontId="0" fillId="35" borderId="41"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textRotation="90"/>
      <protection/>
    </xf>
    <xf numFmtId="0" fontId="0" fillId="34" borderId="23" xfId="0" applyFont="1" applyFill="1" applyBorder="1" applyAlignment="1" applyProtection="1">
      <alignment horizontal="center" vertical="center" textRotation="90" wrapText="1" shrinkToFit="1"/>
      <protection/>
    </xf>
    <xf numFmtId="0" fontId="0" fillId="0" borderId="0" xfId="0" applyFont="1" applyAlignment="1">
      <alignment vertical="center"/>
    </xf>
    <xf numFmtId="0" fontId="0" fillId="0" borderId="0" xfId="0" applyFont="1" applyAlignment="1">
      <alignment horizontal="center" vertical="center" wrapText="1"/>
    </xf>
    <xf numFmtId="39" fontId="7" fillId="0" borderId="82" xfId="44" applyNumberFormat="1" applyFont="1" applyFill="1" applyBorder="1" applyAlignment="1" applyProtection="1">
      <alignment vertical="center"/>
      <protection locked="0"/>
    </xf>
    <xf numFmtId="0" fontId="72" fillId="0" borderId="123" xfId="0" applyFont="1" applyBorder="1" applyAlignment="1">
      <alignment wrapText="1"/>
    </xf>
    <xf numFmtId="170" fontId="72" fillId="0" borderId="53" xfId="0" applyNumberFormat="1" applyFont="1" applyBorder="1" applyAlignment="1">
      <alignment horizontal="left" wrapText="1"/>
    </xf>
    <xf numFmtId="0" fontId="72" fillId="0" borderId="53" xfId="0" applyFont="1" applyBorder="1" applyAlignment="1">
      <alignment wrapText="1"/>
    </xf>
    <xf numFmtId="172" fontId="72" fillId="0" borderId="53" xfId="42" applyNumberFormat="1" applyFont="1" applyBorder="1" applyAlignment="1">
      <alignment wrapText="1"/>
    </xf>
    <xf numFmtId="44" fontId="72" fillId="0" borderId="53" xfId="44" applyNumberFormat="1" applyFont="1" applyBorder="1" applyAlignment="1">
      <alignment wrapText="1"/>
    </xf>
    <xf numFmtId="173" fontId="72" fillId="0" borderId="53" xfId="59" applyNumberFormat="1" applyFont="1" applyBorder="1" applyAlignment="1">
      <alignment wrapText="1"/>
    </xf>
    <xf numFmtId="0" fontId="72" fillId="0" borderId="54" xfId="0" applyFont="1" applyBorder="1" applyAlignment="1">
      <alignment wrapText="1"/>
    </xf>
    <xf numFmtId="6" fontId="0" fillId="0" borderId="0" xfId="0" applyNumberFormat="1" applyAlignment="1">
      <alignment/>
    </xf>
    <xf numFmtId="0" fontId="0" fillId="0" borderId="0" xfId="0" applyNumberFormat="1" applyAlignment="1">
      <alignment horizontal="center"/>
    </xf>
    <xf numFmtId="39" fontId="73" fillId="0" borderId="82" xfId="44" applyNumberFormat="1" applyFont="1" applyFill="1" applyBorder="1" applyAlignment="1" applyProtection="1">
      <alignment vertical="center"/>
      <protection locked="0"/>
    </xf>
    <xf numFmtId="0" fontId="0" fillId="0" borderId="0" xfId="0" applyNumberFormat="1" applyAlignment="1">
      <alignment horizontal="left"/>
    </xf>
    <xf numFmtId="2" fontId="0" fillId="0" borderId="0" xfId="0" applyNumberFormat="1" applyAlignment="1">
      <alignment horizontal="center"/>
    </xf>
    <xf numFmtId="1" fontId="0" fillId="0" borderId="0" xfId="0" applyNumberFormat="1" applyAlignment="1">
      <alignment horizontal="center"/>
    </xf>
    <xf numFmtId="180" fontId="0" fillId="0" borderId="0" xfId="0" applyNumberFormat="1" applyAlignment="1">
      <alignment horizontal="center"/>
    </xf>
    <xf numFmtId="0" fontId="0" fillId="0" borderId="124"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125" xfId="0" applyFont="1" applyBorder="1" applyAlignment="1" applyProtection="1">
      <alignment horizontal="left" vertical="center"/>
      <protection/>
    </xf>
    <xf numFmtId="0" fontId="6" fillId="0" borderId="124"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6" fillId="0" borderId="124" xfId="0" applyFont="1" applyBorder="1" applyAlignment="1" applyProtection="1">
      <alignment horizontal="right" vertical="center"/>
      <protection locked="0"/>
    </xf>
    <xf numFmtId="0" fontId="6" fillId="0" borderId="66" xfId="0" applyFont="1" applyBorder="1" applyAlignment="1" applyProtection="1">
      <alignment horizontal="right" vertical="center"/>
      <protection locked="0"/>
    </xf>
    <xf numFmtId="0" fontId="6" fillId="0" borderId="66" xfId="0" applyFont="1" applyBorder="1" applyAlignment="1" applyProtection="1">
      <alignment vertical="center"/>
      <protection locked="0"/>
    </xf>
    <xf numFmtId="0" fontId="6" fillId="0" borderId="125" xfId="0" applyFont="1" applyBorder="1" applyAlignment="1" applyProtection="1">
      <alignment vertical="center"/>
      <protection locked="0"/>
    </xf>
    <xf numFmtId="0" fontId="0" fillId="35" borderId="101" xfId="0" applyFont="1" applyFill="1" applyBorder="1" applyAlignment="1">
      <alignment vertical="center" wrapText="1"/>
    </xf>
    <xf numFmtId="0" fontId="0" fillId="35" borderId="0" xfId="0" applyFont="1" applyFill="1" applyBorder="1" applyAlignment="1">
      <alignment vertical="center" wrapText="1"/>
    </xf>
    <xf numFmtId="0" fontId="0" fillId="35" borderId="100" xfId="0" applyFont="1" applyFill="1" applyBorder="1" applyAlignment="1">
      <alignment vertical="center" wrapText="1"/>
    </xf>
    <xf numFmtId="0" fontId="28" fillId="35" borderId="101" xfId="0" applyFont="1" applyFill="1" applyBorder="1" applyAlignment="1">
      <alignment vertical="center" wrapText="1"/>
    </xf>
    <xf numFmtId="0" fontId="0" fillId="35" borderId="0" xfId="0" applyFont="1" applyFill="1" applyBorder="1" applyAlignment="1">
      <alignment vertical="center" wrapText="1"/>
    </xf>
    <xf numFmtId="0" fontId="0" fillId="35" borderId="100" xfId="0" applyFont="1" applyFill="1" applyBorder="1" applyAlignment="1">
      <alignment vertical="center" wrapText="1"/>
    </xf>
    <xf numFmtId="0" fontId="14" fillId="0" borderId="126" xfId="0" applyFont="1" applyBorder="1" applyAlignment="1" applyProtection="1">
      <alignment horizontal="left" vertical="center"/>
      <protection/>
    </xf>
    <xf numFmtId="0" fontId="14" fillId="0" borderId="66" xfId="0" applyFont="1" applyBorder="1" applyAlignment="1" applyProtection="1">
      <alignment horizontal="left" vertical="center"/>
      <protection/>
    </xf>
    <xf numFmtId="0" fontId="14" fillId="0" borderId="125" xfId="0" applyFont="1" applyBorder="1" applyAlignment="1" applyProtection="1">
      <alignment horizontal="left" vertical="center"/>
      <protection/>
    </xf>
    <xf numFmtId="0" fontId="0" fillId="0" borderId="126"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27" xfId="0" applyFont="1" applyBorder="1" applyAlignment="1" applyProtection="1">
      <alignment vertical="center"/>
      <protection/>
    </xf>
    <xf numFmtId="0" fontId="0" fillId="0" borderId="0" xfId="0" applyFont="1" applyBorder="1" applyAlignment="1" applyProtection="1">
      <alignment vertical="center"/>
      <protection/>
    </xf>
    <xf numFmtId="0" fontId="2" fillId="35" borderId="128" xfId="0" applyFont="1" applyFill="1" applyBorder="1" applyAlignment="1" applyProtection="1">
      <alignment horizontal="center" vertical="center" shrinkToFit="1"/>
      <protection/>
    </xf>
    <xf numFmtId="0" fontId="2" fillId="35" borderId="129" xfId="0" applyFont="1" applyFill="1" applyBorder="1" applyAlignment="1" applyProtection="1">
      <alignment horizontal="center" vertical="center" shrinkToFit="1"/>
      <protection/>
    </xf>
    <xf numFmtId="0" fontId="2" fillId="35" borderId="130" xfId="0" applyFont="1" applyFill="1" applyBorder="1" applyAlignment="1" applyProtection="1">
      <alignment horizontal="center" vertical="center" shrinkToFit="1"/>
      <protection/>
    </xf>
    <xf numFmtId="0" fontId="29" fillId="35" borderId="101"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31" xfId="0" applyFont="1" applyFill="1" applyBorder="1" applyAlignment="1">
      <alignment vertical="center"/>
    </xf>
    <xf numFmtId="0" fontId="0" fillId="35" borderId="132" xfId="0" applyFont="1" applyFill="1" applyBorder="1" applyAlignment="1">
      <alignment vertical="center"/>
    </xf>
    <xf numFmtId="0" fontId="0" fillId="35" borderId="133" xfId="0" applyFont="1" applyFill="1" applyBorder="1" applyAlignment="1">
      <alignment vertical="center"/>
    </xf>
    <xf numFmtId="0" fontId="0" fillId="35" borderId="101" xfId="0" applyFont="1" applyFill="1" applyBorder="1" applyAlignment="1">
      <alignment vertical="center"/>
    </xf>
    <xf numFmtId="0" fontId="0" fillId="35" borderId="0" xfId="0" applyFont="1" applyFill="1" applyBorder="1" applyAlignment="1">
      <alignment vertical="center"/>
    </xf>
    <xf numFmtId="0" fontId="0" fillId="35" borderId="100" xfId="0" applyFont="1" applyFill="1" applyBorder="1" applyAlignment="1">
      <alignment vertical="center"/>
    </xf>
    <xf numFmtId="0" fontId="6" fillId="35" borderId="101"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00" xfId="0" applyFont="1" applyFill="1" applyBorder="1" applyAlignment="1">
      <alignment horizontal="center" vertical="center"/>
    </xf>
    <xf numFmtId="0" fontId="7" fillId="35" borderId="101"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00" xfId="0" applyFont="1" applyFill="1" applyBorder="1" applyAlignment="1">
      <alignment horizontal="center" vertical="center"/>
    </xf>
    <xf numFmtId="0" fontId="11" fillId="35" borderId="101"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100" xfId="0" applyFont="1" applyFill="1" applyBorder="1" applyAlignment="1">
      <alignment horizontal="center" vertical="center"/>
    </xf>
    <xf numFmtId="0" fontId="0" fillId="0" borderId="126" xfId="0" applyBorder="1" applyAlignment="1" applyProtection="1">
      <alignment horizontal="center" vertical="center"/>
      <protection/>
    </xf>
    <xf numFmtId="0" fontId="0" fillId="0" borderId="134" xfId="0" applyFont="1" applyBorder="1" applyAlignment="1" applyProtection="1">
      <alignment horizontal="center" vertical="center" wrapText="1"/>
      <protection/>
    </xf>
    <xf numFmtId="0" fontId="0" fillId="0" borderId="122" xfId="0" applyFont="1" applyBorder="1" applyAlignment="1" applyProtection="1">
      <alignment horizontal="center" vertical="center" wrapText="1"/>
      <protection/>
    </xf>
    <xf numFmtId="0" fontId="0" fillId="0" borderId="135" xfId="0" applyFont="1" applyBorder="1" applyAlignment="1" applyProtection="1">
      <alignment horizontal="center" vertical="center" wrapText="1"/>
      <protection/>
    </xf>
    <xf numFmtId="0" fontId="0" fillId="0" borderId="1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00" xfId="0" applyFont="1" applyBorder="1" applyAlignment="1" applyProtection="1">
      <alignment horizontal="center" vertical="center" wrapText="1"/>
      <protection/>
    </xf>
    <xf numFmtId="0" fontId="0" fillId="0" borderId="136"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0" fillId="0" borderId="98" xfId="0" applyFont="1" applyBorder="1" applyAlignment="1" applyProtection="1">
      <alignment horizontal="center" vertical="center" wrapText="1"/>
      <protection/>
    </xf>
    <xf numFmtId="0" fontId="0" fillId="0" borderId="136" xfId="0" applyFont="1" applyBorder="1" applyAlignment="1" applyProtection="1">
      <alignment horizontal="center" vertical="center"/>
      <protection/>
    </xf>
    <xf numFmtId="0" fontId="0" fillId="0" borderId="137" xfId="0" applyFont="1" applyBorder="1" applyAlignment="1" applyProtection="1">
      <alignment horizontal="center" vertical="center"/>
      <protection/>
    </xf>
    <xf numFmtId="0" fontId="0" fillId="0" borderId="138" xfId="0" applyBorder="1" applyAlignment="1" applyProtection="1">
      <alignment horizontal="center" vertical="center"/>
      <protection/>
    </xf>
    <xf numFmtId="0" fontId="0" fillId="0" borderId="139" xfId="0" applyFont="1" applyBorder="1" applyAlignment="1" applyProtection="1">
      <alignment horizontal="center" vertical="center"/>
      <protection/>
    </xf>
    <xf numFmtId="0" fontId="14" fillId="0" borderId="126" xfId="0" applyFont="1" applyBorder="1" applyAlignment="1" applyProtection="1">
      <alignment horizontal="left" vertical="center"/>
      <protection locked="0"/>
    </xf>
    <xf numFmtId="0" fontId="14" fillId="0" borderId="66" xfId="0" applyFont="1" applyBorder="1" applyAlignment="1" applyProtection="1">
      <alignment horizontal="left" vertical="center"/>
      <protection locked="0"/>
    </xf>
    <xf numFmtId="0" fontId="14" fillId="0" borderId="125" xfId="0" applyFont="1" applyBorder="1" applyAlignment="1" applyProtection="1">
      <alignment horizontal="left" vertical="center"/>
      <protection locked="0"/>
    </xf>
    <xf numFmtId="0" fontId="0" fillId="0" borderId="126"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xf>
    <xf numFmtId="0" fontId="0" fillId="35" borderId="140" xfId="0" applyFont="1" applyFill="1" applyBorder="1" applyAlignment="1">
      <alignment vertical="center" wrapText="1"/>
    </xf>
    <xf numFmtId="0" fontId="0" fillId="35" borderId="51" xfId="0" applyFont="1" applyFill="1" applyBorder="1" applyAlignment="1">
      <alignment vertical="center" wrapText="1"/>
    </xf>
    <xf numFmtId="0" fontId="0" fillId="35" borderId="141" xfId="0" applyFont="1" applyFill="1" applyBorder="1" applyAlignment="1">
      <alignment vertical="center" wrapText="1"/>
    </xf>
    <xf numFmtId="0" fontId="0" fillId="0" borderId="127" xfId="0" applyFont="1" applyBorder="1" applyAlignment="1">
      <alignment vertical="center"/>
    </xf>
    <xf numFmtId="0" fontId="0" fillId="0" borderId="0" xfId="0" applyFont="1" applyAlignment="1">
      <alignment vertical="center"/>
    </xf>
    <xf numFmtId="0" fontId="0" fillId="0" borderId="100" xfId="0" applyFont="1" applyBorder="1" applyAlignment="1">
      <alignment vertical="center"/>
    </xf>
    <xf numFmtId="0" fontId="0" fillId="0" borderId="127"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00" xfId="0" applyFont="1" applyBorder="1" applyAlignment="1" applyProtection="1">
      <alignment vertical="center" wrapText="1"/>
      <protection/>
    </xf>
    <xf numFmtId="0" fontId="0" fillId="0" borderId="142"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126" xfId="0" applyBorder="1" applyAlignment="1" applyProtection="1">
      <alignment horizontal="center" vertical="center"/>
      <protection locked="0"/>
    </xf>
    <xf numFmtId="0" fontId="14" fillId="0" borderId="10" xfId="0" applyFont="1" applyBorder="1" applyAlignment="1" applyProtection="1">
      <alignment horizontal="left" vertical="center"/>
      <protection/>
    </xf>
    <xf numFmtId="0" fontId="14" fillId="0" borderId="143"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6" fillId="0" borderId="144" xfId="0" applyFont="1" applyBorder="1" applyAlignment="1" applyProtection="1">
      <alignment vertical="center" wrapText="1"/>
      <protection locked="0"/>
    </xf>
    <xf numFmtId="0" fontId="6" fillId="0" borderId="145" xfId="0" applyFont="1" applyBorder="1" applyAlignment="1" applyProtection="1">
      <alignment vertical="center" wrapText="1"/>
      <protection locked="0"/>
    </xf>
    <xf numFmtId="0" fontId="6" fillId="0" borderId="146" xfId="0" applyFont="1" applyBorder="1" applyAlignment="1" applyProtection="1">
      <alignment vertical="center" wrapText="1"/>
      <protection locked="0"/>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4" fillId="0" borderId="10" xfId="0" applyFont="1" applyBorder="1" applyAlignment="1" applyProtection="1">
      <alignment horizontal="left" vertical="center"/>
      <protection locked="0"/>
    </xf>
    <xf numFmtId="0" fontId="14" fillId="0" borderId="143" xfId="0" applyFont="1" applyBorder="1" applyAlignment="1" applyProtection="1">
      <alignment horizontal="left" vertical="center"/>
      <protection locked="0"/>
    </xf>
    <xf numFmtId="0" fontId="0" fillId="0" borderId="122" xfId="0" applyFont="1"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3" fontId="6" fillId="0" borderId="151" xfId="0" applyNumberFormat="1" applyFont="1" applyBorder="1" applyAlignment="1" applyProtection="1">
      <alignment vertical="center"/>
      <protection locked="0"/>
    </xf>
    <xf numFmtId="3" fontId="6" fillId="0" borderId="152" xfId="0" applyNumberFormat="1" applyFont="1" applyBorder="1" applyAlignment="1" applyProtection="1">
      <alignment vertical="center"/>
      <protection locked="0"/>
    </xf>
    <xf numFmtId="3" fontId="6" fillId="0" borderId="66" xfId="0" applyNumberFormat="1" applyFont="1" applyBorder="1" applyAlignment="1" applyProtection="1">
      <alignment vertical="center"/>
      <protection locked="0"/>
    </xf>
    <xf numFmtId="3" fontId="6" fillId="0" borderId="125" xfId="0" applyNumberFormat="1" applyFont="1" applyBorder="1" applyAlignment="1" applyProtection="1">
      <alignment vertical="center"/>
      <protection locked="0"/>
    </xf>
    <xf numFmtId="0" fontId="6" fillId="0" borderId="153" xfId="0" applyFont="1" applyBorder="1" applyAlignment="1" applyProtection="1">
      <alignment horizontal="center" vertical="center"/>
      <protection locked="0"/>
    </xf>
    <xf numFmtId="0" fontId="6" fillId="0" borderId="154" xfId="0" applyFont="1" applyBorder="1" applyAlignment="1" applyProtection="1">
      <alignment horizontal="center" vertical="center"/>
      <protection locked="0"/>
    </xf>
    <xf numFmtId="0" fontId="6" fillId="0" borderId="155" xfId="0" applyFont="1" applyBorder="1" applyAlignment="1" applyProtection="1">
      <alignment vertical="center" wrapText="1"/>
      <protection locked="0"/>
    </xf>
    <xf numFmtId="0" fontId="6" fillId="0" borderId="156" xfId="0" applyFont="1" applyBorder="1" applyAlignment="1" applyProtection="1">
      <alignment vertical="center" wrapText="1"/>
      <protection locked="0"/>
    </xf>
    <xf numFmtId="0" fontId="6" fillId="0" borderId="157" xfId="0" applyFont="1" applyBorder="1" applyAlignment="1" applyProtection="1">
      <alignment vertical="center" wrapText="1"/>
      <protection locked="0"/>
    </xf>
    <xf numFmtId="0" fontId="0" fillId="0" borderId="158" xfId="0" applyFont="1" applyBorder="1" applyAlignment="1">
      <alignment horizontal="center" vertical="center" wrapText="1"/>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34" xfId="0" applyFont="1" applyBorder="1" applyAlignment="1">
      <alignment horizontal="center" vertical="center" wrapText="1"/>
    </xf>
    <xf numFmtId="0" fontId="0" fillId="0" borderId="150"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22" xfId="0" applyFont="1" applyBorder="1" applyAlignment="1">
      <alignment horizontal="center" vertical="center"/>
    </xf>
    <xf numFmtId="0" fontId="0" fillId="0" borderId="70" xfId="0" applyFont="1" applyBorder="1" applyAlignment="1">
      <alignment horizontal="center" vertical="center"/>
    </xf>
    <xf numFmtId="0" fontId="6" fillId="0" borderId="14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2" xfId="0" applyFont="1" applyBorder="1" applyAlignment="1" applyProtection="1">
      <alignment horizontal="center" vertical="center"/>
      <protection locked="0"/>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6" fillId="0" borderId="165" xfId="0" applyFont="1" applyBorder="1" applyAlignment="1" applyProtection="1">
      <alignment horizontal="center" vertical="center"/>
      <protection locked="0"/>
    </xf>
    <xf numFmtId="0" fontId="0" fillId="0" borderId="162" xfId="0" applyFont="1" applyBorder="1" applyAlignment="1" applyProtection="1">
      <alignment horizontal="center" vertical="center"/>
      <protection/>
    </xf>
    <xf numFmtId="0" fontId="0" fillId="0" borderId="162" xfId="0" applyFont="1" applyBorder="1" applyAlignment="1">
      <alignment horizontal="center" vertical="center"/>
    </xf>
    <xf numFmtId="0" fontId="0" fillId="0" borderId="166" xfId="0" applyFont="1" applyBorder="1" applyAlignment="1">
      <alignment horizontal="center" vertical="center"/>
    </xf>
    <xf numFmtId="0" fontId="0" fillId="0" borderId="77" xfId="0" applyFont="1" applyBorder="1" applyAlignment="1" applyProtection="1">
      <alignment horizontal="center" vertical="center"/>
      <protection/>
    </xf>
    <xf numFmtId="0" fontId="6" fillId="0" borderId="163" xfId="0" applyFont="1" applyBorder="1" applyAlignment="1" applyProtection="1">
      <alignment horizontal="center" vertical="center"/>
      <protection locked="0"/>
    </xf>
    <xf numFmtId="0" fontId="0" fillId="0" borderId="167" xfId="0" applyFont="1" applyBorder="1" applyAlignment="1" applyProtection="1">
      <alignment horizontal="left" vertical="center"/>
      <protection/>
    </xf>
    <xf numFmtId="0" fontId="0" fillId="0" borderId="168" xfId="0" applyFont="1" applyBorder="1" applyAlignment="1" applyProtection="1">
      <alignment horizontal="left" vertical="center"/>
      <protection/>
    </xf>
    <xf numFmtId="0" fontId="0" fillId="0" borderId="169" xfId="0" applyFont="1" applyBorder="1" applyAlignment="1" applyProtection="1">
      <alignment horizontal="left" vertical="center"/>
      <protection/>
    </xf>
    <xf numFmtId="0" fontId="0" fillId="0" borderId="170" xfId="0" applyFont="1" applyBorder="1" applyAlignment="1" applyProtection="1">
      <alignment horizontal="left" vertical="center"/>
      <protection/>
    </xf>
    <xf numFmtId="0" fontId="0" fillId="0" borderId="127"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71" xfId="0" applyFont="1" applyBorder="1" applyAlignment="1" applyProtection="1">
      <alignment horizontal="left" vertical="center"/>
      <protection/>
    </xf>
    <xf numFmtId="0" fontId="0" fillId="0" borderId="127" xfId="0" applyFont="1" applyBorder="1" applyAlignment="1">
      <alignment horizontal="left" vertical="center"/>
    </xf>
    <xf numFmtId="0" fontId="0" fillId="0" borderId="0" xfId="0" applyFont="1" applyBorder="1" applyAlignment="1">
      <alignment horizontal="left" vertical="center"/>
    </xf>
    <xf numFmtId="0" fontId="0" fillId="0" borderId="171" xfId="0" applyFont="1" applyBorder="1" applyAlignment="1">
      <alignment horizontal="left" vertical="center"/>
    </xf>
    <xf numFmtId="0" fontId="0" fillId="0" borderId="142" xfId="0" applyFont="1" applyBorder="1" applyAlignment="1">
      <alignment horizontal="left" vertical="center"/>
    </xf>
    <xf numFmtId="0" fontId="0" fillId="0" borderId="12" xfId="0" applyFont="1" applyBorder="1" applyAlignment="1">
      <alignment horizontal="left" vertical="center"/>
    </xf>
    <xf numFmtId="0" fontId="0" fillId="0" borderId="172" xfId="0" applyFont="1" applyBorder="1" applyAlignment="1">
      <alignment horizontal="left" vertical="center"/>
    </xf>
    <xf numFmtId="0" fontId="6" fillId="0" borderId="12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71" xfId="0" applyFont="1" applyBorder="1" applyAlignment="1" applyProtection="1">
      <alignment horizontal="center" vertical="center" wrapText="1"/>
      <protection locked="0"/>
    </xf>
    <xf numFmtId="0" fontId="6" fillId="0" borderId="14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2" xfId="0" applyFont="1" applyBorder="1" applyAlignment="1" applyProtection="1">
      <alignment horizontal="center" vertical="center" wrapText="1"/>
      <protection locked="0"/>
    </xf>
    <xf numFmtId="0" fontId="0" fillId="0" borderId="153" xfId="0" applyFont="1" applyBorder="1" applyAlignment="1" applyProtection="1">
      <alignment horizontal="left" vertical="center"/>
      <protection/>
    </xf>
    <xf numFmtId="0" fontId="0" fillId="0" borderId="154" xfId="0" applyFont="1" applyBorder="1" applyAlignment="1" applyProtection="1">
      <alignment horizontal="left" vertical="center"/>
      <protection/>
    </xf>
    <xf numFmtId="0" fontId="0" fillId="0" borderId="173" xfId="0" applyFont="1" applyBorder="1" applyAlignment="1" applyProtection="1">
      <alignment horizontal="left" vertical="center"/>
      <protection/>
    </xf>
    <xf numFmtId="0" fontId="0" fillId="0" borderId="122" xfId="0" applyFont="1" applyBorder="1" applyAlignment="1">
      <alignment horizontal="center" vertical="center" wrapText="1"/>
    </xf>
    <xf numFmtId="0" fontId="0" fillId="0" borderId="15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74" xfId="0" applyFont="1" applyBorder="1" applyAlignment="1" applyProtection="1">
      <alignment horizontal="center" vertical="center" wrapText="1"/>
      <protection/>
    </xf>
    <xf numFmtId="0" fontId="0" fillId="0" borderId="102" xfId="0" applyFont="1" applyBorder="1" applyAlignment="1" applyProtection="1">
      <alignment horizontal="center" vertical="center" wrapText="1"/>
      <protection/>
    </xf>
    <xf numFmtId="0" fontId="0" fillId="0" borderId="175" xfId="0" applyFont="1" applyBorder="1" applyAlignment="1" applyProtection="1">
      <alignment horizontal="left" vertical="center"/>
      <protection/>
    </xf>
    <xf numFmtId="0" fontId="0" fillId="0" borderId="151" xfId="0" applyFont="1" applyBorder="1" applyAlignment="1" applyProtection="1">
      <alignment horizontal="left" vertical="center"/>
      <protection/>
    </xf>
    <xf numFmtId="0" fontId="0" fillId="0" borderId="152" xfId="0" applyFont="1" applyBorder="1" applyAlignment="1" applyProtection="1">
      <alignment horizontal="left" vertical="center"/>
      <protection/>
    </xf>
    <xf numFmtId="0" fontId="6" fillId="0" borderId="167" xfId="0" applyFont="1" applyFill="1" applyBorder="1" applyAlignment="1" applyProtection="1">
      <alignment horizontal="left" vertical="center" wrapText="1"/>
      <protection locked="0"/>
    </xf>
    <xf numFmtId="0" fontId="6" fillId="0" borderId="168" xfId="0" applyFont="1" applyFill="1" applyBorder="1" applyAlignment="1" applyProtection="1">
      <alignment horizontal="left" vertical="center" wrapText="1"/>
      <protection locked="0"/>
    </xf>
    <xf numFmtId="0" fontId="6" fillId="0" borderId="71"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1" fontId="6" fillId="0" borderId="124" xfId="0" applyNumberFormat="1" applyFont="1" applyBorder="1" applyAlignment="1" applyProtection="1">
      <alignment horizontal="right" vertical="center"/>
      <protection locked="0"/>
    </xf>
    <xf numFmtId="1" fontId="6" fillId="0" borderId="66" xfId="0" applyNumberFormat="1" applyFont="1" applyBorder="1" applyAlignment="1" applyProtection="1">
      <alignment horizontal="right" vertical="center"/>
      <protection locked="0"/>
    </xf>
    <xf numFmtId="3" fontId="6" fillId="0" borderId="124" xfId="0" applyNumberFormat="1" applyFont="1" applyBorder="1" applyAlignment="1" applyProtection="1">
      <alignment horizontal="right" vertical="center"/>
      <protection locked="0"/>
    </xf>
    <xf numFmtId="3" fontId="6" fillId="0" borderId="66" xfId="0" applyNumberFormat="1" applyFont="1" applyBorder="1" applyAlignment="1" applyProtection="1">
      <alignment horizontal="right" vertical="center"/>
      <protection locked="0"/>
    </xf>
    <xf numFmtId="0" fontId="6" fillId="0" borderId="125" xfId="0" applyFont="1" applyBorder="1" applyAlignment="1" applyProtection="1">
      <alignment horizontal="left" vertical="center"/>
      <protection locked="0"/>
    </xf>
    <xf numFmtId="0" fontId="0" fillId="0" borderId="176" xfId="0" applyFont="1" applyBorder="1" applyAlignment="1" applyProtection="1">
      <alignment horizontal="left" vertical="center"/>
      <protection/>
    </xf>
    <xf numFmtId="0" fontId="0" fillId="0" borderId="139" xfId="0" applyFont="1" applyBorder="1" applyAlignment="1" applyProtection="1">
      <alignment horizontal="left" vertical="center"/>
      <protection/>
    </xf>
    <xf numFmtId="0" fontId="0" fillId="0" borderId="177" xfId="0" applyFont="1" applyBorder="1" applyAlignment="1" applyProtection="1">
      <alignment horizontal="left" vertical="center"/>
      <protection/>
    </xf>
    <xf numFmtId="0" fontId="0" fillId="0" borderId="124"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125" xfId="0" applyFont="1" applyBorder="1" applyAlignment="1" applyProtection="1">
      <alignment horizontal="left" vertical="center"/>
      <protection/>
    </xf>
    <xf numFmtId="0" fontId="6" fillId="0" borderId="71"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77" xfId="0" applyFont="1" applyBorder="1" applyAlignment="1">
      <alignment horizontal="center" vertical="center"/>
    </xf>
    <xf numFmtId="0" fontId="0" fillId="0" borderId="158" xfId="0" applyFont="1" applyBorder="1" applyAlignment="1" applyProtection="1">
      <alignment horizontal="center" vertical="center" wrapText="1"/>
      <protection/>
    </xf>
    <xf numFmtId="0" fontId="0" fillId="0" borderId="159" xfId="0" applyFont="1" applyBorder="1" applyAlignment="1" applyProtection="1">
      <alignment horizontal="center" vertical="center"/>
      <protection/>
    </xf>
    <xf numFmtId="1" fontId="6" fillId="0" borderId="175" xfId="0" applyNumberFormat="1" applyFont="1" applyBorder="1" applyAlignment="1" applyProtection="1">
      <alignment horizontal="right" vertical="center"/>
      <protection locked="0"/>
    </xf>
    <xf numFmtId="1" fontId="6" fillId="0" borderId="151" xfId="0" applyNumberFormat="1" applyFont="1" applyBorder="1" applyAlignment="1" applyProtection="1">
      <alignment horizontal="right" vertical="center"/>
      <protection locked="0"/>
    </xf>
    <xf numFmtId="0" fontId="2" fillId="0" borderId="147" xfId="0" applyFont="1" applyBorder="1" applyAlignment="1">
      <alignment horizontal="left" vertical="center"/>
    </xf>
    <xf numFmtId="0" fontId="2" fillId="0" borderId="148" xfId="0" applyFont="1" applyBorder="1" applyAlignment="1">
      <alignment horizontal="left" vertical="center"/>
    </xf>
    <xf numFmtId="0" fontId="2" fillId="0" borderId="149" xfId="0" applyFont="1" applyBorder="1" applyAlignment="1">
      <alignment horizontal="left" vertical="center"/>
    </xf>
    <xf numFmtId="0" fontId="6" fillId="0" borderId="124"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168" fontId="6" fillId="0" borderId="178" xfId="0" applyNumberFormat="1" applyFont="1" applyBorder="1" applyAlignment="1" applyProtection="1">
      <alignment horizontal="left" vertical="center"/>
      <protection locked="0"/>
    </xf>
    <xf numFmtId="168" fontId="6" fillId="0" borderId="179" xfId="0" applyNumberFormat="1" applyFont="1" applyBorder="1" applyAlignment="1" applyProtection="1">
      <alignment horizontal="left" vertical="center"/>
      <protection locked="0"/>
    </xf>
    <xf numFmtId="168" fontId="6" fillId="0" borderId="180" xfId="0" applyNumberFormat="1" applyFont="1" applyBorder="1" applyAlignment="1" applyProtection="1">
      <alignment horizontal="left" vertical="center"/>
      <protection locked="0"/>
    </xf>
    <xf numFmtId="171" fontId="6" fillId="0" borderId="181" xfId="0" applyNumberFormat="1" applyFont="1" applyBorder="1" applyAlignment="1" applyProtection="1">
      <alignment horizontal="left" vertical="center"/>
      <protection locked="0"/>
    </xf>
    <xf numFmtId="171" fontId="6" fillId="0" borderId="182" xfId="0" applyNumberFormat="1" applyFont="1" applyBorder="1" applyAlignment="1" applyProtection="1">
      <alignment horizontal="left" vertical="center"/>
      <protection locked="0"/>
    </xf>
    <xf numFmtId="171" fontId="6" fillId="0" borderId="183" xfId="0" applyNumberFormat="1" applyFont="1" applyBorder="1" applyAlignment="1" applyProtection="1">
      <alignment horizontal="left" vertical="center"/>
      <protection locked="0"/>
    </xf>
    <xf numFmtId="0" fontId="2" fillId="0" borderId="147" xfId="0" applyFont="1" applyBorder="1" applyAlignment="1" applyProtection="1">
      <alignment horizontal="left" vertical="center"/>
      <protection/>
    </xf>
    <xf numFmtId="0" fontId="2" fillId="0" borderId="148" xfId="0" applyFont="1" applyBorder="1" applyAlignment="1" applyProtection="1">
      <alignment horizontal="left" vertical="center"/>
      <protection/>
    </xf>
    <xf numFmtId="0" fontId="0" fillId="0" borderId="134" xfId="0" applyFont="1" applyBorder="1" applyAlignment="1" applyProtection="1">
      <alignment horizontal="left" vertical="center"/>
      <protection/>
    </xf>
    <xf numFmtId="0" fontId="0" fillId="0" borderId="122" xfId="0" applyFont="1" applyBorder="1" applyAlignment="1" applyProtection="1">
      <alignment horizontal="left" vertical="center"/>
      <protection/>
    </xf>
    <xf numFmtId="0" fontId="6" fillId="0" borderId="176" xfId="0" applyFont="1" applyBorder="1" applyAlignment="1" applyProtection="1">
      <alignment horizontal="left" vertical="center"/>
      <protection locked="0"/>
    </xf>
    <xf numFmtId="0" fontId="6" fillId="0" borderId="139" xfId="0" applyFont="1" applyBorder="1" applyAlignment="1" applyProtection="1">
      <alignment horizontal="left" vertical="center"/>
      <protection locked="0"/>
    </xf>
    <xf numFmtId="0" fontId="6" fillId="0" borderId="164" xfId="0" applyFont="1" applyBorder="1" applyAlignment="1" applyProtection="1">
      <alignment horizontal="center" vertical="center"/>
      <protection locked="0"/>
    </xf>
    <xf numFmtId="0" fontId="0" fillId="0" borderId="166" xfId="0" applyFont="1" applyBorder="1" applyAlignment="1" applyProtection="1">
      <alignment horizontal="center" vertical="center"/>
      <protection/>
    </xf>
    <xf numFmtId="0" fontId="0" fillId="0" borderId="184" xfId="0" applyFont="1" applyBorder="1" applyAlignment="1">
      <alignment horizontal="center" vertical="center"/>
    </xf>
    <xf numFmtId="0" fontId="6" fillId="0" borderId="185" xfId="0" applyFont="1" applyBorder="1" applyAlignment="1" applyProtection="1">
      <alignment horizontal="center" vertical="center"/>
      <protection locked="0"/>
    </xf>
    <xf numFmtId="0" fontId="6" fillId="0" borderId="186" xfId="0" applyFont="1" applyBorder="1" applyAlignment="1" applyProtection="1">
      <alignment horizontal="center" vertical="center"/>
      <protection locked="0"/>
    </xf>
    <xf numFmtId="0" fontId="6" fillId="0" borderId="187" xfId="0" applyFont="1" applyBorder="1" applyAlignment="1" applyProtection="1">
      <alignment horizontal="center" vertical="center"/>
      <protection locked="0"/>
    </xf>
    <xf numFmtId="0" fontId="6" fillId="0" borderId="184" xfId="0" applyFont="1" applyBorder="1" applyAlignment="1" applyProtection="1">
      <alignment horizontal="center" vertical="center"/>
      <protection locked="0"/>
    </xf>
    <xf numFmtId="0" fontId="6" fillId="0" borderId="188" xfId="0" applyFont="1" applyBorder="1" applyAlignment="1" applyProtection="1">
      <alignment horizontal="center" vertical="center"/>
      <protection locked="0"/>
    </xf>
    <xf numFmtId="0" fontId="15" fillId="0" borderId="189" xfId="0" applyFont="1" applyBorder="1" applyAlignment="1" applyProtection="1">
      <alignment horizontal="center" vertical="center"/>
      <protection/>
    </xf>
    <xf numFmtId="0" fontId="6" fillId="0" borderId="181" xfId="0" applyFont="1" applyBorder="1" applyAlignment="1" applyProtection="1">
      <alignment vertical="center" wrapText="1"/>
      <protection locked="0"/>
    </xf>
    <xf numFmtId="0" fontId="6" fillId="0" borderId="182" xfId="0" applyFont="1" applyBorder="1" applyAlignment="1" applyProtection="1">
      <alignment vertical="center" wrapText="1"/>
      <protection locked="0"/>
    </xf>
    <xf numFmtId="0" fontId="6" fillId="0" borderId="183" xfId="0" applyFont="1" applyBorder="1" applyAlignment="1" applyProtection="1">
      <alignment vertical="center" wrapText="1"/>
      <protection locked="0"/>
    </xf>
    <xf numFmtId="0" fontId="6" fillId="0" borderId="10" xfId="0" applyFont="1" applyFill="1" applyBorder="1" applyAlignment="1" applyProtection="1">
      <alignment horizontal="center" vertical="center"/>
      <protection locked="0"/>
    </xf>
    <xf numFmtId="0" fontId="6" fillId="0" borderId="185" xfId="0" applyFont="1" applyFill="1" applyBorder="1" applyAlignment="1" applyProtection="1">
      <alignment horizontal="center" vertical="center"/>
      <protection locked="0"/>
    </xf>
    <xf numFmtId="0" fontId="0" fillId="0" borderId="0" xfId="0" applyFont="1" applyBorder="1" applyAlignment="1">
      <alignment vertical="center"/>
    </xf>
    <xf numFmtId="0" fontId="6" fillId="0" borderId="143" xfId="0" applyFont="1" applyFill="1" applyBorder="1" applyAlignment="1" applyProtection="1">
      <alignment horizontal="center" vertical="center"/>
      <protection locked="0"/>
    </xf>
    <xf numFmtId="0" fontId="6" fillId="0" borderId="186" xfId="0"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0" fillId="0" borderId="184" xfId="0" applyFont="1" applyBorder="1" applyAlignment="1" applyProtection="1">
      <alignment horizontal="center" vertical="center"/>
      <protection/>
    </xf>
    <xf numFmtId="0" fontId="15" fillId="0" borderId="147" xfId="0" applyFont="1" applyBorder="1" applyAlignment="1">
      <alignment vertical="center"/>
    </xf>
    <xf numFmtId="0" fontId="15" fillId="0" borderId="148" xfId="0" applyFont="1" applyBorder="1" applyAlignment="1">
      <alignment vertical="center"/>
    </xf>
    <xf numFmtId="0" fontId="15" fillId="0" borderId="149" xfId="0" applyFont="1" applyBorder="1" applyAlignment="1">
      <alignment vertical="center"/>
    </xf>
    <xf numFmtId="0" fontId="0" fillId="0" borderId="187" xfId="0" applyFont="1" applyBorder="1" applyAlignment="1" applyProtection="1">
      <alignment horizontal="left" vertical="center"/>
      <protection/>
    </xf>
    <xf numFmtId="0" fontId="0" fillId="0" borderId="190" xfId="0" applyFont="1" applyBorder="1" applyAlignment="1" applyProtection="1">
      <alignment horizontal="left" vertical="center"/>
      <protection/>
    </xf>
    <xf numFmtId="0" fontId="6" fillId="0" borderId="187" xfId="0" applyNumberFormat="1" applyFont="1" applyBorder="1" applyAlignment="1" applyProtection="1">
      <alignment horizontal="center" vertical="center"/>
      <protection locked="0"/>
    </xf>
    <xf numFmtId="0" fontId="6" fillId="0" borderId="190"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protection/>
    </xf>
    <xf numFmtId="0" fontId="7" fillId="0" borderId="108"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09"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0" borderId="45" xfId="0" applyFont="1" applyBorder="1" applyAlignment="1" applyProtection="1">
      <alignment horizontal="center" vertical="center" textRotation="90" wrapText="1"/>
      <protection/>
    </xf>
    <xf numFmtId="0" fontId="2" fillId="0" borderId="97" xfId="0" applyFont="1" applyBorder="1" applyAlignment="1" applyProtection="1">
      <alignment horizontal="center" vertical="center" textRotation="90" wrapText="1"/>
      <protection/>
    </xf>
    <xf numFmtId="0" fontId="15" fillId="0" borderId="189" xfId="0" applyFont="1" applyBorder="1" applyAlignment="1">
      <alignment vertical="center"/>
    </xf>
    <xf numFmtId="0" fontId="0" fillId="0" borderId="188" xfId="0" applyFont="1" applyBorder="1" applyAlignment="1" applyProtection="1">
      <alignment horizontal="left" vertical="center"/>
      <protection/>
    </xf>
    <xf numFmtId="165" fontId="6" fillId="0" borderId="187" xfId="0" applyNumberFormat="1" applyFont="1" applyBorder="1" applyAlignment="1" applyProtection="1">
      <alignment horizontal="center" vertical="center"/>
      <protection locked="0"/>
    </xf>
    <xf numFmtId="0" fontId="11" fillId="0" borderId="0" xfId="0" applyFont="1" applyBorder="1" applyAlignment="1">
      <alignment vertical="center"/>
    </xf>
    <xf numFmtId="164" fontId="11" fillId="0" borderId="187" xfId="0" applyNumberFormat="1" applyFont="1" applyBorder="1" applyAlignment="1" applyProtection="1">
      <alignment horizontal="center" vertical="center"/>
      <protection/>
    </xf>
    <xf numFmtId="0" fontId="0" fillId="0" borderId="0" xfId="0" applyFont="1" applyBorder="1" applyAlignment="1">
      <alignment vertical="center"/>
    </xf>
    <xf numFmtId="0" fontId="6" fillId="0" borderId="0" xfId="0" applyFont="1" applyBorder="1" applyAlignment="1">
      <alignment vertical="center"/>
    </xf>
    <xf numFmtId="0" fontId="0" fillId="0" borderId="147" xfId="0" applyFont="1" applyBorder="1" applyAlignment="1" applyProtection="1">
      <alignment horizontal="center" vertical="center" shrinkToFit="1"/>
      <protection/>
    </xf>
    <xf numFmtId="0" fontId="0" fillId="0" borderId="148" xfId="0" applyFont="1" applyBorder="1" applyAlignment="1" applyProtection="1">
      <alignment horizontal="center" vertical="center" shrinkToFit="1"/>
      <protection/>
    </xf>
    <xf numFmtId="0" fontId="0" fillId="0" borderId="126" xfId="0" applyFont="1" applyBorder="1" applyAlignment="1" applyProtection="1">
      <alignment horizontal="center" vertical="center"/>
      <protection locked="0"/>
    </xf>
    <xf numFmtId="0" fontId="2" fillId="0" borderId="192" xfId="0" applyFont="1" applyBorder="1" applyAlignment="1">
      <alignment horizontal="center" vertical="center"/>
    </xf>
    <xf numFmtId="0" fontId="0" fillId="0" borderId="134" xfId="0" applyFont="1" applyBorder="1" applyAlignment="1" applyProtection="1">
      <alignment horizontal="center" vertical="center"/>
      <protection/>
    </xf>
    <xf numFmtId="0" fontId="0" fillId="0" borderId="122" xfId="0" applyFont="1"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185" xfId="0" applyBorder="1" applyAlignment="1" applyProtection="1">
      <alignment horizontal="center" vertical="center"/>
      <protection locked="0"/>
    </xf>
    <xf numFmtId="0" fontId="0" fillId="0" borderId="185" xfId="0" applyFont="1" applyBorder="1" applyAlignment="1" applyProtection="1">
      <alignment horizontal="center" vertical="center"/>
      <protection locked="0"/>
    </xf>
    <xf numFmtId="0" fontId="14" fillId="0" borderId="185" xfId="0" applyFont="1" applyBorder="1" applyAlignment="1" applyProtection="1">
      <alignment horizontal="left" vertical="center"/>
      <protection locked="0"/>
    </xf>
    <xf numFmtId="0" fontId="14" fillId="0" borderId="186" xfId="0" applyFont="1" applyBorder="1" applyAlignment="1" applyProtection="1">
      <alignment horizontal="left" vertical="center"/>
      <protection locked="0"/>
    </xf>
    <xf numFmtId="0" fontId="2" fillId="0" borderId="78" xfId="0" applyFont="1" applyBorder="1" applyAlignment="1">
      <alignment horizontal="center" vertical="center"/>
    </xf>
    <xf numFmtId="0" fontId="2" fillId="0" borderId="193" xfId="0" applyFont="1" applyBorder="1" applyAlignment="1">
      <alignment horizontal="center" vertical="center"/>
    </xf>
    <xf numFmtId="0" fontId="2" fillId="0" borderId="96" xfId="0" applyFont="1" applyBorder="1" applyAlignment="1">
      <alignment horizontal="center" vertical="center"/>
    </xf>
    <xf numFmtId="0" fontId="2" fillId="0" borderId="41" xfId="0" applyFont="1" applyBorder="1" applyAlignment="1">
      <alignment horizontal="center" vertical="center"/>
    </xf>
    <xf numFmtId="0" fontId="0" fillId="0" borderId="0" xfId="0" applyFont="1" applyAlignment="1">
      <alignment vertical="center" wrapText="1"/>
    </xf>
    <xf numFmtId="0" fontId="3" fillId="0" borderId="194" xfId="0" applyFont="1" applyBorder="1" applyAlignment="1">
      <alignment horizontal="left"/>
    </xf>
    <xf numFmtId="0" fontId="3" fillId="0" borderId="195" xfId="0" applyFont="1" applyBorder="1" applyAlignment="1">
      <alignment horizontal="left"/>
    </xf>
    <xf numFmtId="0" fontId="9" fillId="0" borderId="56" xfId="0" applyFont="1" applyBorder="1" applyAlignment="1">
      <alignment horizontal="left"/>
    </xf>
    <xf numFmtId="0" fontId="9" fillId="0" borderId="12" xfId="0" applyFont="1" applyBorder="1" applyAlignment="1">
      <alignment horizontal="left"/>
    </xf>
    <xf numFmtId="0" fontId="9" fillId="0" borderId="50" xfId="0" applyFont="1" applyBorder="1" applyAlignment="1">
      <alignment horizontal="left"/>
    </xf>
    <xf numFmtId="2" fontId="10" fillId="0" borderId="142" xfId="44" applyNumberFormat="1" applyFont="1" applyBorder="1" applyAlignment="1">
      <alignment horizontal="right" shrinkToFit="1"/>
    </xf>
    <xf numFmtId="2" fontId="10" fillId="0" borderId="50" xfId="44" applyNumberFormat="1" applyFont="1" applyBorder="1" applyAlignment="1">
      <alignment horizontal="right" shrinkToFit="1"/>
    </xf>
    <xf numFmtId="0" fontId="9" fillId="0" borderId="59" xfId="0" applyFont="1" applyBorder="1" applyAlignment="1">
      <alignment horizontal="left"/>
    </xf>
    <xf numFmtId="0" fontId="9" fillId="0" borderId="65" xfId="0" applyFont="1" applyBorder="1" applyAlignment="1">
      <alignment horizontal="left"/>
    </xf>
    <xf numFmtId="0" fontId="9" fillId="0" borderId="64" xfId="0" applyFont="1" applyBorder="1" applyAlignment="1">
      <alignment horizontal="left"/>
    </xf>
    <xf numFmtId="2" fontId="10" fillId="0" borderId="114" xfId="44" applyNumberFormat="1" applyFont="1" applyBorder="1" applyAlignment="1">
      <alignment horizontal="right" shrinkToFit="1"/>
    </xf>
    <xf numFmtId="2" fontId="10" fillId="0" borderId="64" xfId="44" applyNumberFormat="1" applyFont="1" applyBorder="1" applyAlignment="1">
      <alignment horizontal="right" shrinkToFit="1"/>
    </xf>
    <xf numFmtId="2" fontId="10" fillId="0" borderId="65" xfId="44" applyNumberFormat="1" applyFont="1" applyBorder="1" applyAlignment="1">
      <alignment horizontal="right" shrinkToFit="1"/>
    </xf>
    <xf numFmtId="0" fontId="4" fillId="0" borderId="78" xfId="0" applyFont="1" applyBorder="1" applyAlignment="1">
      <alignment horizontal="center"/>
    </xf>
    <xf numFmtId="0" fontId="4" fillId="0" borderId="193" xfId="0" applyFont="1" applyBorder="1" applyAlignment="1">
      <alignment horizontal="center"/>
    </xf>
    <xf numFmtId="39" fontId="10" fillId="0" borderId="196" xfId="44" applyNumberFormat="1" applyFont="1" applyBorder="1" applyAlignment="1">
      <alignment horizontal="right" shrinkToFit="1"/>
    </xf>
    <xf numFmtId="39" fontId="10" fillId="0" borderId="197" xfId="44" applyNumberFormat="1" applyFont="1" applyBorder="1" applyAlignment="1">
      <alignment horizontal="right" shrinkToFit="1"/>
    </xf>
    <xf numFmtId="2" fontId="10" fillId="0" borderId="197" xfId="44" applyNumberFormat="1" applyFont="1" applyBorder="1" applyAlignment="1">
      <alignment horizontal="right" shrinkToFit="1"/>
    </xf>
    <xf numFmtId="39" fontId="10" fillId="0" borderId="198" xfId="44" applyNumberFormat="1" applyFont="1" applyBorder="1" applyAlignment="1">
      <alignment horizontal="right" shrinkToFit="1"/>
    </xf>
    <xf numFmtId="39" fontId="10" fillId="0" borderId="199" xfId="44" applyNumberFormat="1" applyFont="1" applyBorder="1" applyAlignment="1">
      <alignment horizontal="right" shrinkToFit="1"/>
    </xf>
    <xf numFmtId="2" fontId="10" fillId="33" borderId="114" xfId="44" applyNumberFormat="1" applyFont="1" applyFill="1" applyBorder="1" applyAlignment="1">
      <alignment horizontal="right" shrinkToFit="1"/>
    </xf>
    <xf numFmtId="2" fontId="10" fillId="33" borderId="64" xfId="44" applyNumberFormat="1" applyFont="1" applyFill="1" applyBorder="1" applyAlignment="1">
      <alignment horizontal="right" shrinkToFit="1"/>
    </xf>
    <xf numFmtId="2" fontId="10" fillId="0" borderId="12" xfId="44" applyNumberFormat="1" applyFont="1" applyBorder="1" applyAlignment="1">
      <alignment horizontal="right" shrinkToFit="1"/>
    </xf>
    <xf numFmtId="0" fontId="3" fillId="0" borderId="65" xfId="0" applyFont="1" applyBorder="1" applyAlignment="1">
      <alignment horizontal="right" vertical="center"/>
    </xf>
    <xf numFmtId="4" fontId="10" fillId="0" borderId="93" xfId="0" applyNumberFormat="1" applyFont="1" applyBorder="1" applyAlignment="1">
      <alignment horizontal="right" shrinkToFit="1"/>
    </xf>
    <xf numFmtId="4" fontId="10" fillId="0" borderId="200" xfId="0" applyNumberFormat="1" applyFont="1" applyBorder="1" applyAlignment="1">
      <alignment horizontal="right" shrinkToFit="1"/>
    </xf>
    <xf numFmtId="4" fontId="10" fillId="0" borderId="46" xfId="44" applyNumberFormat="1" applyFont="1" applyBorder="1" applyAlignment="1">
      <alignment horizontal="right" shrinkToFit="1"/>
    </xf>
    <xf numFmtId="4" fontId="10" fillId="0" borderId="108" xfId="44" applyNumberFormat="1" applyFont="1" applyBorder="1" applyAlignment="1">
      <alignment horizontal="right" shrinkToFit="1"/>
    </xf>
    <xf numFmtId="4" fontId="10" fillId="0" borderId="116" xfId="44" applyNumberFormat="1" applyFont="1" applyBorder="1" applyAlignment="1">
      <alignment horizontal="right" shrinkToFit="1"/>
    </xf>
    <xf numFmtId="4" fontId="10" fillId="0" borderId="117" xfId="44" applyNumberFormat="1" applyFont="1" applyBorder="1" applyAlignment="1">
      <alignment horizontal="right" shrinkToFit="1"/>
    </xf>
    <xf numFmtId="168" fontId="9" fillId="0" borderId="65" xfId="0" applyNumberFormat="1" applyFont="1" applyBorder="1" applyAlignment="1" applyProtection="1">
      <alignment horizontal="left"/>
      <protection locked="0"/>
    </xf>
    <xf numFmtId="168" fontId="9" fillId="0" borderId="64" xfId="0" applyNumberFormat="1" applyFont="1" applyBorder="1" applyAlignment="1" applyProtection="1">
      <alignment horizontal="left"/>
      <protection locked="0"/>
    </xf>
    <xf numFmtId="0" fontId="3" fillId="0" borderId="65" xfId="0" applyFont="1" applyBorder="1" applyAlignment="1">
      <alignment horizontal="right"/>
    </xf>
    <xf numFmtId="0" fontId="4" fillId="0" borderId="201" xfId="0" applyFont="1" applyBorder="1" applyAlignment="1">
      <alignment horizontal="center"/>
    </xf>
    <xf numFmtId="0" fontId="4" fillId="0" borderId="202" xfId="0" applyFont="1" applyBorder="1" applyAlignment="1">
      <alignment horizontal="center"/>
    </xf>
    <xf numFmtId="168" fontId="9" fillId="0" borderId="195" xfId="0" applyNumberFormat="1" applyFont="1" applyBorder="1" applyAlignment="1" applyProtection="1">
      <alignment horizontal="right"/>
      <protection/>
    </xf>
    <xf numFmtId="168" fontId="9" fillId="0" borderId="203" xfId="0" applyNumberFormat="1" applyFont="1" applyBorder="1" applyAlignment="1" applyProtection="1">
      <alignment horizontal="right"/>
      <protection/>
    </xf>
    <xf numFmtId="0" fontId="4" fillId="0" borderId="96" xfId="0" applyFont="1" applyBorder="1" applyAlignment="1">
      <alignment horizontal="center"/>
    </xf>
    <xf numFmtId="0" fontId="3" fillId="0" borderId="0" xfId="0" applyNumberFormat="1" applyFont="1" applyAlignment="1" applyProtection="1">
      <alignment horizontal="left" vertical="center"/>
      <protection/>
    </xf>
    <xf numFmtId="0" fontId="4" fillId="0" borderId="204" xfId="0" applyFont="1" applyBorder="1" applyAlignment="1">
      <alignment horizontal="right" textRotation="90"/>
    </xf>
    <xf numFmtId="0" fontId="9" fillId="0" borderId="14" xfId="0" applyFont="1" applyBorder="1" applyAlignment="1">
      <alignment horizontal="left"/>
    </xf>
    <xf numFmtId="0" fontId="4" fillId="0" borderId="204" xfId="0" applyFont="1" applyBorder="1" applyAlignment="1">
      <alignment horizontal="right" vertical="center" textRotation="90"/>
    </xf>
    <xf numFmtId="0" fontId="9" fillId="0" borderId="13" xfId="0" applyFont="1" applyBorder="1" applyAlignment="1">
      <alignment horizontal="left"/>
    </xf>
    <xf numFmtId="44" fontId="9" fillId="0" borderId="11" xfId="0" applyNumberFormat="1" applyFont="1" applyBorder="1" applyAlignment="1">
      <alignment horizontal="right" vertical="center" shrinkToFit="1"/>
    </xf>
    <xf numFmtId="0" fontId="4" fillId="0" borderId="13" xfId="0" applyNumberFormat="1" applyFont="1" applyBorder="1" applyAlignment="1" applyProtection="1">
      <alignment horizontal="left" vertical="center"/>
      <protection/>
    </xf>
    <xf numFmtId="0" fontId="4" fillId="0" borderId="14" xfId="0" applyNumberFormat="1" applyFont="1" applyBorder="1" applyAlignment="1" applyProtection="1">
      <alignment horizontal="left" vertical="center"/>
      <protection/>
    </xf>
    <xf numFmtId="0" fontId="9" fillId="0" borderId="14" xfId="0" applyNumberFormat="1" applyFont="1" applyBorder="1" applyAlignment="1" applyProtection="1">
      <alignment vertical="center"/>
      <protection/>
    </xf>
    <xf numFmtId="4" fontId="10" fillId="0" borderId="41" xfId="44" applyNumberFormat="1" applyFont="1" applyBorder="1" applyAlignment="1">
      <alignment horizontal="right" shrinkToFit="1"/>
    </xf>
    <xf numFmtId="2" fontId="10" fillId="33" borderId="22" xfId="44" applyNumberFormat="1" applyFont="1" applyFill="1" applyBorder="1" applyAlignment="1">
      <alignment horizontal="right" shrinkToFit="1"/>
    </xf>
    <xf numFmtId="4" fontId="10" fillId="0" borderId="40" xfId="44" applyNumberFormat="1" applyFont="1" applyBorder="1" applyAlignment="1">
      <alignment horizontal="right" shrinkToFit="1"/>
    </xf>
    <xf numFmtId="4" fontId="10" fillId="0" borderId="87" xfId="44" applyNumberFormat="1" applyFont="1" applyBorder="1" applyAlignment="1">
      <alignment horizontal="right" shrinkToFit="1"/>
    </xf>
    <xf numFmtId="4" fontId="10" fillId="0" borderId="22" xfId="44" applyNumberFormat="1" applyFont="1" applyBorder="1" applyAlignment="1">
      <alignment horizontal="right" shrinkToFit="1"/>
    </xf>
    <xf numFmtId="0" fontId="10" fillId="33" borderId="40" xfId="0" applyNumberFormat="1" applyFont="1" applyFill="1" applyBorder="1" applyAlignment="1" applyProtection="1">
      <alignment horizontal="right" shrinkToFit="1"/>
      <protection/>
    </xf>
    <xf numFmtId="0" fontId="10" fillId="33" borderId="87" xfId="0" applyNumberFormat="1" applyFont="1" applyFill="1" applyBorder="1" applyAlignment="1" applyProtection="1">
      <alignment horizontal="right" shrinkToFit="1"/>
      <protection/>
    </xf>
    <xf numFmtId="4" fontId="10" fillId="0" borderId="83" xfId="44" applyNumberFormat="1" applyFont="1" applyBorder="1" applyAlignment="1">
      <alignment horizontal="right" shrinkToFit="1"/>
    </xf>
    <xf numFmtId="4" fontId="10" fillId="0" borderId="118" xfId="44" applyNumberFormat="1" applyFont="1" applyBorder="1" applyAlignment="1">
      <alignment horizontal="right" shrinkToFit="1"/>
    </xf>
    <xf numFmtId="4" fontId="10" fillId="0" borderId="20" xfId="44" applyNumberFormat="1" applyFont="1" applyBorder="1" applyAlignment="1">
      <alignment horizontal="right" shrinkToFit="1"/>
    </xf>
    <xf numFmtId="0" fontId="10" fillId="33" borderId="22" xfId="44" applyNumberFormat="1" applyFont="1" applyFill="1" applyBorder="1" applyAlignment="1" applyProtection="1">
      <alignment horizontal="right" shrinkToFit="1"/>
      <protection/>
    </xf>
    <xf numFmtId="0" fontId="10" fillId="33" borderId="22" xfId="0" applyNumberFormat="1" applyFont="1" applyFill="1" applyBorder="1" applyAlignment="1" applyProtection="1">
      <alignment horizontal="right" shrinkToFit="1"/>
      <protection/>
    </xf>
    <xf numFmtId="4" fontId="10" fillId="0" borderId="78" xfId="44" applyNumberFormat="1" applyFont="1" applyBorder="1" applyAlignment="1">
      <alignment horizontal="right" shrinkToFit="1"/>
    </xf>
    <xf numFmtId="0" fontId="9" fillId="0" borderId="14" xfId="0" applyNumberFormat="1" applyFont="1" applyBorder="1" applyAlignment="1" applyProtection="1">
      <alignment horizontal="left" vertical="center"/>
      <protection/>
    </xf>
    <xf numFmtId="4" fontId="23" fillId="0" borderId="43" xfId="0" applyNumberFormat="1" applyFont="1" applyBorder="1" applyAlignment="1">
      <alignment horizontal="right" shrinkToFit="1"/>
    </xf>
    <xf numFmtId="0" fontId="0" fillId="0" borderId="59" xfId="0" applyBorder="1" applyAlignment="1">
      <alignment horizontal="center"/>
    </xf>
    <xf numFmtId="0" fontId="0" fillId="0" borderId="65" xfId="0" applyBorder="1" applyAlignment="1">
      <alignment horizontal="center"/>
    </xf>
    <xf numFmtId="0" fontId="0" fillId="0" borderId="64" xfId="0" applyBorder="1" applyAlignment="1">
      <alignment horizontal="center"/>
    </xf>
    <xf numFmtId="0" fontId="3" fillId="0" borderId="194" xfId="0" applyFont="1" applyBorder="1" applyAlignment="1">
      <alignment/>
    </xf>
    <xf numFmtId="0" fontId="3" fillId="0" borderId="195" xfId="0" applyFont="1" applyBorder="1" applyAlignment="1">
      <alignment/>
    </xf>
    <xf numFmtId="0" fontId="3" fillId="0" borderId="205" xfId="0" applyFont="1" applyBorder="1" applyAlignment="1">
      <alignment/>
    </xf>
    <xf numFmtId="4" fontId="4" fillId="0" borderId="90" xfId="0" applyNumberFormat="1" applyFont="1" applyBorder="1" applyAlignment="1">
      <alignment horizontal="left"/>
    </xf>
    <xf numFmtId="4" fontId="4" fillId="0" borderId="113" xfId="0" applyNumberFormat="1" applyFont="1" applyBorder="1" applyAlignment="1">
      <alignment horizontal="left"/>
    </xf>
    <xf numFmtId="4" fontId="4" fillId="0" borderId="94" xfId="0" applyNumberFormat="1" applyFont="1" applyBorder="1" applyAlignment="1">
      <alignment horizontal="left"/>
    </xf>
    <xf numFmtId="0" fontId="4" fillId="0" borderId="0" xfId="0" applyNumberFormat="1" applyFont="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3" fillId="0" borderId="11" xfId="0" applyFont="1" applyBorder="1" applyAlignment="1">
      <alignment horizontal="center" vertical="center"/>
    </xf>
    <xf numFmtId="0" fontId="4" fillId="0" borderId="11" xfId="0" applyFont="1" applyBorder="1" applyAlignment="1">
      <alignment horizontal="left" vertical="center" shrinkToFit="1"/>
    </xf>
    <xf numFmtId="164" fontId="10" fillId="0" borderId="11" xfId="0" applyNumberFormat="1" applyFont="1" applyBorder="1" applyAlignment="1">
      <alignment horizontal="right" vertical="center" shrinkToFit="1"/>
    </xf>
    <xf numFmtId="44" fontId="10" fillId="0" borderId="11" xfId="44" applyNumberFormat="1" applyFont="1" applyBorder="1" applyAlignment="1">
      <alignment horizontal="center" shrinkToFit="1"/>
    </xf>
    <xf numFmtId="44" fontId="10" fillId="0" borderId="11" xfId="0" applyNumberFormat="1" applyFont="1" applyBorder="1" applyAlignment="1">
      <alignment horizontal="left" vertical="center" shrinkToFit="1"/>
    </xf>
    <xf numFmtId="0" fontId="4" fillId="0" borderId="11" xfId="0" applyFont="1" applyBorder="1" applyAlignment="1">
      <alignment horizontal="left" vertical="center"/>
    </xf>
    <xf numFmtId="4" fontId="10" fillId="0" borderId="206" xfId="44" applyNumberFormat="1" applyFont="1" applyBorder="1" applyAlignment="1">
      <alignment horizontal="right" shrinkToFit="1"/>
    </xf>
    <xf numFmtId="4" fontId="10" fillId="0" borderId="207" xfId="44" applyNumberFormat="1" applyFont="1" applyBorder="1" applyAlignment="1">
      <alignment horizontal="right" shrinkToFit="1"/>
    </xf>
    <xf numFmtId="4" fontId="10" fillId="0" borderId="43" xfId="0" applyNumberFormat="1" applyFont="1" applyBorder="1" applyAlignment="1">
      <alignment horizontal="right" shrinkToFit="1"/>
    </xf>
    <xf numFmtId="4" fontId="10" fillId="0" borderId="63" xfId="0" applyNumberFormat="1" applyFont="1" applyBorder="1" applyAlignment="1">
      <alignment horizontal="right" shrinkToFit="1"/>
    </xf>
    <xf numFmtId="4" fontId="10" fillId="0" borderId="22" xfId="44" applyNumberFormat="1" applyFont="1" applyFill="1" applyBorder="1" applyAlignment="1">
      <alignment horizontal="right" shrinkToFit="1"/>
    </xf>
    <xf numFmtId="4" fontId="10" fillId="0" borderId="92" xfId="44" applyNumberFormat="1" applyFont="1" applyBorder="1" applyAlignment="1">
      <alignment horizontal="right" shrinkToFit="1"/>
    </xf>
    <xf numFmtId="0" fontId="9" fillId="0" borderId="40" xfId="0" applyFont="1" applyBorder="1" applyAlignment="1">
      <alignment horizontal="left"/>
    </xf>
    <xf numFmtId="0" fontId="9" fillId="0" borderId="87" xfId="0" applyFont="1" applyBorder="1" applyAlignment="1">
      <alignment horizontal="left"/>
    </xf>
    <xf numFmtId="0" fontId="9" fillId="0" borderId="40" xfId="0" applyFont="1" applyFill="1" applyBorder="1" applyAlignment="1">
      <alignment horizontal="left"/>
    </xf>
    <xf numFmtId="0" fontId="9" fillId="0" borderId="14" xfId="0" applyFont="1" applyFill="1" applyBorder="1" applyAlignment="1">
      <alignment horizontal="left"/>
    </xf>
    <xf numFmtId="0" fontId="9" fillId="0" borderId="87" xfId="0" applyFont="1" applyFill="1" applyBorder="1" applyAlignment="1">
      <alignment horizontal="left"/>
    </xf>
    <xf numFmtId="0" fontId="10" fillId="33" borderId="118" xfId="44" applyNumberFormat="1" applyFont="1" applyFill="1" applyBorder="1" applyAlignment="1" applyProtection="1">
      <alignment horizontal="right" shrinkToFit="1"/>
      <protection/>
    </xf>
    <xf numFmtId="0" fontId="4" fillId="0" borderId="208" xfId="0" applyFont="1" applyBorder="1" applyAlignment="1">
      <alignment horizontal="center"/>
    </xf>
    <xf numFmtId="4" fontId="10" fillId="0" borderId="93" xfId="44" applyNumberFormat="1" applyFont="1" applyBorder="1" applyAlignment="1">
      <alignment horizontal="right" shrinkToFit="1"/>
    </xf>
    <xf numFmtId="4" fontId="10" fillId="0" borderId="200" xfId="44" applyNumberFormat="1" applyFont="1" applyBorder="1" applyAlignment="1">
      <alignment horizontal="right" shrinkToFit="1"/>
    </xf>
    <xf numFmtId="4" fontId="10" fillId="0" borderId="121" xfId="44" applyNumberFormat="1" applyFont="1" applyBorder="1" applyAlignment="1">
      <alignment horizontal="right" shrinkToFit="1"/>
    </xf>
    <xf numFmtId="4" fontId="10" fillId="0" borderId="90" xfId="44" applyNumberFormat="1" applyFont="1" applyBorder="1" applyAlignment="1">
      <alignment horizontal="right" shrinkToFit="1"/>
    </xf>
    <xf numFmtId="4" fontId="10" fillId="0" borderId="94" xfId="44" applyNumberFormat="1" applyFont="1" applyBorder="1" applyAlignment="1">
      <alignment horizontal="right" shrinkToFit="1"/>
    </xf>
    <xf numFmtId="2" fontId="10" fillId="0" borderId="40" xfId="44" applyNumberFormat="1" applyFont="1" applyBorder="1" applyAlignment="1">
      <alignment horizontal="right" shrinkToFit="1"/>
    </xf>
    <xf numFmtId="2" fontId="10" fillId="0" borderId="87" xfId="44" applyNumberFormat="1" applyFont="1" applyBorder="1" applyAlignment="1">
      <alignment horizontal="right" shrinkToFit="1"/>
    </xf>
    <xf numFmtId="0" fontId="10" fillId="33" borderId="20" xfId="44" applyNumberFormat="1" applyFont="1" applyFill="1" applyBorder="1" applyAlignment="1" applyProtection="1">
      <alignment horizontal="right" shrinkToFit="1"/>
      <protection/>
    </xf>
    <xf numFmtId="0" fontId="10" fillId="33" borderId="117" xfId="44" applyNumberFormat="1" applyFont="1" applyFill="1" applyBorder="1" applyAlignment="1" applyProtection="1">
      <alignment horizontal="right" shrinkToFit="1"/>
      <protection/>
    </xf>
    <xf numFmtId="4" fontId="10" fillId="0" borderId="40" xfId="44" applyNumberFormat="1" applyFont="1" applyFill="1" applyBorder="1" applyAlignment="1">
      <alignment horizontal="right" shrinkToFit="1"/>
    </xf>
    <xf numFmtId="4" fontId="10" fillId="0" borderId="87" xfId="44" applyNumberFormat="1" applyFont="1" applyFill="1" applyBorder="1" applyAlignment="1">
      <alignment horizontal="right" shrinkToFit="1"/>
    </xf>
    <xf numFmtId="0" fontId="4" fillId="0" borderId="41" xfId="0" applyFont="1" applyBorder="1" applyAlignment="1">
      <alignment horizontal="center" vertical="center"/>
    </xf>
    <xf numFmtId="4" fontId="10" fillId="0" borderId="209" xfId="44" applyNumberFormat="1" applyFont="1" applyBorder="1" applyAlignment="1">
      <alignment horizontal="right" shrinkToFit="1"/>
    </xf>
    <xf numFmtId="4" fontId="10" fillId="0" borderId="210" xfId="44" applyNumberFormat="1" applyFont="1" applyBorder="1" applyAlignment="1">
      <alignment horizontal="right" shrinkToFit="1"/>
    </xf>
    <xf numFmtId="0" fontId="4" fillId="0" borderId="41" xfId="0" applyFont="1" applyBorder="1" applyAlignment="1" applyProtection="1">
      <alignment horizontal="center" vertical="center"/>
      <protection/>
    </xf>
    <xf numFmtId="0" fontId="3" fillId="0" borderId="65" xfId="0" applyFont="1" applyBorder="1" applyAlignment="1" applyProtection="1">
      <alignment horizontal="right" vertical="center"/>
      <protection/>
    </xf>
    <xf numFmtId="0" fontId="3" fillId="0" borderId="65" xfId="0" applyFont="1" applyBorder="1" applyAlignment="1" applyProtection="1">
      <alignment horizontal="right"/>
      <protection/>
    </xf>
    <xf numFmtId="0" fontId="4" fillId="0" borderId="108" xfId="0" applyFont="1" applyBorder="1" applyAlignment="1">
      <alignment horizontal="center" vertical="center"/>
    </xf>
    <xf numFmtId="4" fontId="10" fillId="0" borderId="211" xfId="44" applyNumberFormat="1" applyFont="1" applyBorder="1" applyAlignment="1">
      <alignment horizontal="right" shrinkToFit="1"/>
    </xf>
    <xf numFmtId="4" fontId="10" fillId="0" borderId="111" xfId="44" applyNumberFormat="1" applyFont="1" applyBorder="1" applyAlignment="1">
      <alignment horizontal="right" shrinkToFit="1"/>
    </xf>
    <xf numFmtId="0" fontId="3" fillId="0" borderId="59" xfId="0" applyFont="1" applyBorder="1" applyAlignment="1">
      <alignment horizontal="left"/>
    </xf>
    <xf numFmtId="0" fontId="3" fillId="0" borderId="65" xfId="0" applyFont="1" applyBorder="1" applyAlignment="1">
      <alignment horizontal="left"/>
    </xf>
    <xf numFmtId="0" fontId="9" fillId="0" borderId="14" xfId="0" applyNumberFormat="1" applyFont="1" applyFill="1" applyBorder="1" applyAlignment="1" applyProtection="1">
      <alignment horizontal="left" vertical="center"/>
      <protection/>
    </xf>
    <xf numFmtId="0" fontId="9" fillId="0" borderId="13" xfId="0" applyNumberFormat="1" applyFont="1" applyBorder="1" applyAlignment="1" applyProtection="1">
      <alignment horizontal="left" vertical="center"/>
      <protection/>
    </xf>
    <xf numFmtId="0" fontId="9" fillId="0" borderId="14" xfId="0" applyFont="1" applyBorder="1" applyAlignment="1">
      <alignment horizontal="left" vertical="top" shrinkToFit="1"/>
    </xf>
    <xf numFmtId="168" fontId="9" fillId="0" borderId="65" xfId="0" applyNumberFormat="1" applyFont="1" applyBorder="1" applyAlignment="1" applyProtection="1">
      <alignment horizontal="left"/>
      <protection/>
    </xf>
    <xf numFmtId="168" fontId="9" fillId="0" borderId="64" xfId="0" applyNumberFormat="1" applyFont="1" applyBorder="1" applyAlignment="1" applyProtection="1">
      <alignment horizontal="left"/>
      <protection/>
    </xf>
    <xf numFmtId="168" fontId="5" fillId="0" borderId="65" xfId="0" applyNumberFormat="1" applyFont="1" applyBorder="1" applyAlignment="1" applyProtection="1">
      <alignment horizontal="right"/>
      <protection locked="0"/>
    </xf>
    <xf numFmtId="168" fontId="5" fillId="0" borderId="212" xfId="0" applyNumberFormat="1" applyFont="1" applyBorder="1" applyAlignment="1" applyProtection="1">
      <alignment horizontal="right"/>
      <protection locked="0"/>
    </xf>
    <xf numFmtId="0" fontId="10" fillId="0" borderId="14" xfId="0" applyNumberFormat="1" applyFont="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9" fillId="0" borderId="40" xfId="0" applyFont="1" applyFill="1" applyBorder="1" applyAlignment="1" quotePrefix="1">
      <alignment horizontal="left"/>
    </xf>
    <xf numFmtId="0" fontId="9" fillId="0" borderId="16" xfId="0" applyFont="1" applyBorder="1" applyAlignment="1">
      <alignment horizontal="left"/>
    </xf>
    <xf numFmtId="0" fontId="9" fillId="0" borderId="0" xfId="0" applyFont="1" applyBorder="1" applyAlignment="1">
      <alignment horizontal="left"/>
    </xf>
    <xf numFmtId="0" fontId="9" fillId="0" borderId="49" xfId="0" applyFont="1" applyBorder="1" applyAlignment="1">
      <alignment horizontal="left"/>
    </xf>
    <xf numFmtId="0" fontId="4" fillId="0" borderId="78" xfId="0" applyFont="1" applyBorder="1" applyAlignment="1">
      <alignment horizontal="center" vertical="center"/>
    </xf>
    <xf numFmtId="0" fontId="4" fillId="0" borderId="193" xfId="0" applyFont="1" applyBorder="1" applyAlignment="1">
      <alignment horizontal="center" vertical="center"/>
    </xf>
    <xf numFmtId="0" fontId="4" fillId="0" borderId="96" xfId="0" applyFont="1" applyBorder="1" applyAlignment="1">
      <alignment horizontal="center" vertical="center"/>
    </xf>
    <xf numFmtId="2" fontId="10" fillId="0" borderId="22" xfId="44" applyNumberFormat="1" applyFont="1" applyBorder="1" applyAlignment="1">
      <alignment horizontal="right" shrinkToFit="1"/>
    </xf>
    <xf numFmtId="0" fontId="0" fillId="0" borderId="63" xfId="0" applyBorder="1" applyAlignment="1">
      <alignment horizontal="center"/>
    </xf>
    <xf numFmtId="0" fontId="0" fillId="0" borderId="112" xfId="0" applyBorder="1" applyAlignment="1">
      <alignment horizontal="center"/>
    </xf>
    <xf numFmtId="0" fontId="0" fillId="0" borderId="95" xfId="0" applyBorder="1" applyAlignment="1">
      <alignment horizontal="center"/>
    </xf>
    <xf numFmtId="2" fontId="10" fillId="33" borderId="65" xfId="44" applyNumberFormat="1" applyFont="1" applyFill="1" applyBorder="1" applyAlignment="1">
      <alignment horizontal="right" shrinkToFit="1"/>
    </xf>
    <xf numFmtId="0" fontId="4" fillId="0" borderId="213" xfId="0" applyFont="1" applyBorder="1" applyAlignment="1">
      <alignment horizontal="center"/>
    </xf>
    <xf numFmtId="2" fontId="10" fillId="0" borderId="114" xfId="44" applyNumberFormat="1" applyFont="1" applyFill="1" applyBorder="1" applyAlignment="1">
      <alignment horizontal="right" shrinkToFit="1"/>
    </xf>
    <xf numFmtId="2" fontId="10" fillId="0" borderId="65" xfId="44" applyNumberFormat="1" applyFont="1" applyFill="1" applyBorder="1" applyAlignment="1">
      <alignment horizontal="right" shrinkToFit="1"/>
    </xf>
    <xf numFmtId="4" fontId="9" fillId="0" borderId="63" xfId="0" applyNumberFormat="1" applyFont="1" applyBorder="1" applyAlignment="1">
      <alignment horizontal="left"/>
    </xf>
    <xf numFmtId="4" fontId="9" fillId="0" borderId="112" xfId="0" applyNumberFormat="1" applyFont="1" applyBorder="1" applyAlignment="1">
      <alignment horizontal="left"/>
    </xf>
    <xf numFmtId="4" fontId="9" fillId="0" borderId="95" xfId="0" applyNumberFormat="1" applyFont="1" applyBorder="1" applyAlignment="1">
      <alignment horizontal="left"/>
    </xf>
    <xf numFmtId="4" fontId="10" fillId="0" borderId="214" xfId="44" applyNumberFormat="1" applyFont="1" applyBorder="1" applyAlignment="1">
      <alignment horizontal="right" shrinkToFit="1"/>
    </xf>
    <xf numFmtId="4" fontId="10" fillId="0" borderId="95" xfId="44" applyNumberFormat="1" applyFont="1" applyBorder="1" applyAlignment="1">
      <alignment horizontal="right" shrinkToFit="1"/>
    </xf>
    <xf numFmtId="4" fontId="10" fillId="0" borderId="92" xfId="44" applyNumberFormat="1" applyFont="1" applyBorder="1" applyAlignment="1" applyProtection="1">
      <alignment horizontal="right" vertical="center" shrinkToFit="1"/>
      <protection/>
    </xf>
    <xf numFmtId="4" fontId="10" fillId="0" borderId="121" xfId="44" applyNumberFormat="1" applyFont="1" applyBorder="1" applyAlignment="1" applyProtection="1">
      <alignment horizontal="right" vertical="center" shrinkToFit="1"/>
      <protection/>
    </xf>
    <xf numFmtId="0" fontId="9" fillId="0" borderId="40"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9" fillId="0" borderId="87" xfId="0" applyFont="1" applyBorder="1" applyAlignment="1" applyProtection="1">
      <alignment horizontal="left" vertical="center"/>
      <protection/>
    </xf>
    <xf numFmtId="4" fontId="10" fillId="0" borderId="22" xfId="44" applyNumberFormat="1" applyFont="1" applyBorder="1" applyAlignment="1" applyProtection="1">
      <alignment horizontal="right" vertical="center" shrinkToFit="1"/>
      <protection/>
    </xf>
    <xf numFmtId="4" fontId="10" fillId="0" borderId="118" xfId="44" applyNumberFormat="1" applyFont="1" applyBorder="1" applyAlignment="1" applyProtection="1">
      <alignment horizontal="right" vertical="center" shrinkToFit="1"/>
      <protection/>
    </xf>
    <xf numFmtId="0" fontId="4" fillId="0" borderId="105" xfId="0" applyFont="1" applyBorder="1" applyAlignment="1" applyProtection="1">
      <alignment horizontal="center" vertical="center" wrapText="1"/>
      <protection/>
    </xf>
    <xf numFmtId="0" fontId="4" fillId="0" borderId="56"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44" fontId="10" fillId="0" borderId="87" xfId="0" applyNumberFormat="1" applyFont="1" applyBorder="1" applyAlignment="1" applyProtection="1">
      <alignment horizontal="right" vertical="center"/>
      <protection/>
    </xf>
    <xf numFmtId="44" fontId="10" fillId="0" borderId="22" xfId="0" applyNumberFormat="1" applyFont="1" applyBorder="1" applyAlignment="1" applyProtection="1">
      <alignment horizontal="right" vertical="center"/>
      <protection/>
    </xf>
    <xf numFmtId="0" fontId="9" fillId="0" borderId="90" xfId="0" applyFont="1" applyBorder="1" applyAlignment="1" applyProtection="1">
      <alignment horizontal="left" vertical="center"/>
      <protection/>
    </xf>
    <xf numFmtId="0" fontId="9" fillId="0" borderId="113" xfId="0" applyFont="1" applyBorder="1" applyAlignment="1" applyProtection="1">
      <alignment horizontal="left" vertical="center"/>
      <protection/>
    </xf>
    <xf numFmtId="0" fontId="9" fillId="0" borderId="94" xfId="0" applyFont="1" applyBorder="1" applyAlignment="1" applyProtection="1">
      <alignment horizontal="left" vertical="center"/>
      <protection/>
    </xf>
    <xf numFmtId="44" fontId="10" fillId="0" borderId="64" xfId="0" applyNumberFormat="1" applyFont="1" applyBorder="1" applyAlignment="1" applyProtection="1">
      <alignment horizontal="right" vertical="center"/>
      <protection/>
    </xf>
    <xf numFmtId="44" fontId="10" fillId="0" borderId="23" xfId="0" applyNumberFormat="1" applyFont="1" applyBorder="1" applyAlignment="1" applyProtection="1">
      <alignment horizontal="right" vertical="center"/>
      <protection/>
    </xf>
    <xf numFmtId="44" fontId="10" fillId="0" borderId="14" xfId="0" applyNumberFormat="1" applyFont="1" applyBorder="1" applyAlignment="1" applyProtection="1">
      <alignment horizontal="right" vertical="center"/>
      <protection/>
    </xf>
    <xf numFmtId="0" fontId="9" fillId="0" borderId="31"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35" xfId="0" applyFont="1" applyBorder="1" applyAlignment="1">
      <alignment horizontal="center" vertical="center"/>
    </xf>
    <xf numFmtId="164" fontId="9" fillId="0" borderId="31"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35" xfId="0" applyNumberFormat="1" applyFont="1" applyBorder="1" applyAlignment="1">
      <alignment horizontal="center" vertical="center"/>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35"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4" fillId="0" borderId="0" xfId="0" applyNumberFormat="1" applyFont="1" applyBorder="1" applyAlignment="1" applyProtection="1">
      <alignment horizontal="left" vertical="center"/>
      <protection/>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Border="1" applyAlignment="1">
      <alignment horizontal="right" vertical="center"/>
    </xf>
    <xf numFmtId="44" fontId="9" fillId="0" borderId="11" xfId="0" applyNumberFormat="1" applyFont="1" applyBorder="1" applyAlignment="1">
      <alignment horizontal="right" vertical="center"/>
    </xf>
    <xf numFmtId="44" fontId="10" fillId="0" borderId="32" xfId="0" applyNumberFormat="1" applyFont="1" applyBorder="1" applyAlignment="1">
      <alignment horizontal="center" vertical="center"/>
    </xf>
    <xf numFmtId="44" fontId="10" fillId="0" borderId="37" xfId="0" applyNumberFormat="1" applyFont="1" applyBorder="1" applyAlignment="1">
      <alignment horizontal="center" vertical="center"/>
    </xf>
    <xf numFmtId="44" fontId="10" fillId="0" borderId="215" xfId="0" applyNumberFormat="1" applyFont="1" applyBorder="1" applyAlignment="1">
      <alignment horizontal="center" vertical="center"/>
    </xf>
    <xf numFmtId="44" fontId="10" fillId="0" borderId="216" xfId="44" applyNumberFormat="1" applyFont="1" applyBorder="1" applyAlignment="1">
      <alignment horizontal="center" vertical="center"/>
    </xf>
    <xf numFmtId="44" fontId="10" fillId="0" borderId="13" xfId="44" applyNumberFormat="1" applyFont="1" applyBorder="1" applyAlignment="1">
      <alignment horizontal="center" vertical="center"/>
    </xf>
    <xf numFmtId="44" fontId="10" fillId="0" borderId="217" xfId="44" applyNumberFormat="1" applyFont="1" applyBorder="1" applyAlignment="1">
      <alignment horizontal="center" vertical="center"/>
    </xf>
    <xf numFmtId="0" fontId="3" fillId="0" borderId="6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9" fillId="0" borderId="218" xfId="0" applyFont="1" applyBorder="1" applyAlignment="1" applyProtection="1">
      <alignment horizontal="center" vertical="center"/>
      <protection/>
    </xf>
    <xf numFmtId="0" fontId="9" fillId="0" borderId="219" xfId="0" applyFont="1" applyBorder="1" applyAlignment="1" applyProtection="1">
      <alignment horizontal="center" vertical="center"/>
      <protection/>
    </xf>
    <xf numFmtId="0" fontId="9" fillId="0" borderId="220" xfId="0" applyFont="1" applyBorder="1" applyAlignment="1" applyProtection="1">
      <alignment horizontal="center" vertical="center"/>
      <protection/>
    </xf>
    <xf numFmtId="44" fontId="10" fillId="0" borderId="221" xfId="0" applyNumberFormat="1" applyFont="1" applyBorder="1" applyAlignment="1" applyProtection="1">
      <alignment horizontal="right" vertical="center"/>
      <protection/>
    </xf>
    <xf numFmtId="44" fontId="10" fillId="0" borderId="19" xfId="0" applyNumberFormat="1" applyFont="1" applyBorder="1" applyAlignment="1" applyProtection="1">
      <alignment horizontal="right" vertical="center"/>
      <protection/>
    </xf>
    <xf numFmtId="4" fontId="10" fillId="0" borderId="19" xfId="44" applyNumberFormat="1" applyFont="1" applyBorder="1" applyAlignment="1" applyProtection="1">
      <alignment horizontal="right" vertical="center" shrinkToFit="1"/>
      <protection/>
    </xf>
    <xf numFmtId="4" fontId="10" fillId="0" borderId="222" xfId="44" applyNumberFormat="1" applyFont="1" applyBorder="1" applyAlignment="1" applyProtection="1">
      <alignment horizontal="right" vertical="center" shrinkToFit="1"/>
      <protection/>
    </xf>
    <xf numFmtId="0" fontId="18" fillId="0" borderId="65" xfId="0" applyFont="1" applyBorder="1" applyAlignment="1" applyProtection="1">
      <alignment horizontal="center" vertical="center"/>
      <protection/>
    </xf>
    <xf numFmtId="0" fontId="18" fillId="0" borderId="64" xfId="0" applyFont="1" applyBorder="1" applyAlignment="1" applyProtection="1">
      <alignment horizontal="center" vertical="center"/>
      <protection/>
    </xf>
    <xf numFmtId="44" fontId="10" fillId="0" borderId="94" xfId="0" applyNumberFormat="1" applyFont="1" applyBorder="1" applyAlignment="1" applyProtection="1">
      <alignment horizontal="right" vertical="center"/>
      <protection/>
    </xf>
    <xf numFmtId="44" fontId="10" fillId="0" borderId="92" xfId="0" applyNumberFormat="1" applyFont="1" applyBorder="1" applyAlignment="1" applyProtection="1">
      <alignment horizontal="right" vertical="center"/>
      <protection/>
    </xf>
    <xf numFmtId="4" fontId="5" fillId="0" borderId="22" xfId="44" applyNumberFormat="1" applyFont="1" applyBorder="1" applyAlignment="1" applyProtection="1">
      <alignment horizontal="right" vertical="center" shrinkToFit="1"/>
      <protection locked="0"/>
    </xf>
    <xf numFmtId="4" fontId="5" fillId="0" borderId="118" xfId="44" applyNumberFormat="1" applyFont="1" applyBorder="1" applyAlignment="1" applyProtection="1">
      <alignment horizontal="right" vertical="center" shrinkToFit="1"/>
      <protection locked="0"/>
    </xf>
    <xf numFmtId="0" fontId="9" fillId="0" borderId="223"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07" xfId="0" applyFont="1" applyBorder="1" applyAlignment="1" applyProtection="1">
      <alignment horizontal="center" vertical="center"/>
      <protection/>
    </xf>
    <xf numFmtId="44" fontId="10" fillId="0" borderId="224" xfId="0" applyNumberFormat="1" applyFont="1" applyBorder="1" applyAlignment="1" applyProtection="1">
      <alignment horizontal="right" vertical="center"/>
      <protection/>
    </xf>
    <xf numFmtId="44" fontId="10" fillId="0" borderId="225" xfId="0" applyNumberFormat="1" applyFont="1" applyBorder="1" applyAlignment="1" applyProtection="1">
      <alignment horizontal="right" vertical="center"/>
      <protection/>
    </xf>
    <xf numFmtId="44" fontId="10" fillId="0" borderId="226" xfId="0" applyNumberFormat="1" applyFont="1" applyBorder="1" applyAlignment="1" applyProtection="1">
      <alignment horizontal="right" vertical="center"/>
      <protection/>
    </xf>
    <xf numFmtId="44" fontId="10" fillId="0" borderId="218" xfId="0" applyNumberFormat="1" applyFont="1" applyBorder="1" applyAlignment="1" applyProtection="1">
      <alignment horizontal="right" vertical="center"/>
      <protection/>
    </xf>
    <xf numFmtId="44" fontId="10" fillId="0" borderId="219" xfId="0" applyNumberFormat="1" applyFont="1" applyBorder="1" applyAlignment="1" applyProtection="1">
      <alignment horizontal="right" vertical="center"/>
      <protection/>
    </xf>
    <xf numFmtId="44" fontId="10" fillId="0" borderId="220" xfId="0" applyNumberFormat="1" applyFont="1" applyBorder="1" applyAlignment="1" applyProtection="1">
      <alignment horizontal="right" vertical="center"/>
      <protection/>
    </xf>
    <xf numFmtId="0" fontId="4" fillId="0" borderId="105"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0" fontId="4" fillId="0" borderId="22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164" fontId="10" fillId="0" borderId="31"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35" xfId="0" applyNumberFormat="1" applyFont="1" applyBorder="1" applyAlignment="1">
      <alignment horizontal="center" vertical="center"/>
    </xf>
    <xf numFmtId="0" fontId="9" fillId="0" borderId="110" xfId="0" applyFont="1" applyBorder="1" applyAlignment="1" applyProtection="1">
      <alignment horizontal="left" vertical="center"/>
      <protection/>
    </xf>
    <xf numFmtId="0" fontId="9" fillId="0" borderId="228" xfId="0" applyFont="1" applyBorder="1" applyAlignment="1" applyProtection="1">
      <alignment horizontal="left" vertical="center"/>
      <protection/>
    </xf>
    <xf numFmtId="0" fontId="9" fillId="0" borderId="221" xfId="0" applyFont="1" applyBorder="1" applyAlignment="1" applyProtection="1">
      <alignment horizontal="left" vertical="center"/>
      <protection/>
    </xf>
    <xf numFmtId="0" fontId="4" fillId="0" borderId="0" xfId="0" applyFont="1" applyAlignment="1">
      <alignment horizontal="right" vertical="center"/>
    </xf>
    <xf numFmtId="0" fontId="3" fillId="0" borderId="56" xfId="0" applyFont="1" applyBorder="1" applyAlignment="1">
      <alignment horizontal="center" vertical="center" wrapText="1"/>
    </xf>
    <xf numFmtId="0" fontId="3" fillId="0" borderId="95" xfId="0" applyFont="1" applyBorder="1" applyAlignment="1">
      <alignment horizontal="center" vertical="center"/>
    </xf>
    <xf numFmtId="0" fontId="4" fillId="0" borderId="17" xfId="0" applyFont="1" applyBorder="1" applyAlignment="1">
      <alignment horizontal="center" vertical="center" textRotation="90"/>
    </xf>
    <xf numFmtId="0" fontId="4" fillId="0" borderId="229" xfId="0" applyFont="1" applyBorder="1" applyAlignment="1">
      <alignment horizontal="center" vertical="center" textRotation="90"/>
    </xf>
    <xf numFmtId="0" fontId="4" fillId="0" borderId="123" xfId="0" applyFont="1" applyBorder="1" applyAlignment="1">
      <alignment horizontal="center" vertical="center"/>
    </xf>
    <xf numFmtId="0" fontId="4" fillId="0" borderId="54" xfId="0" applyFont="1" applyBorder="1" applyAlignment="1">
      <alignment horizontal="center" vertical="center"/>
    </xf>
    <xf numFmtId="0" fontId="3" fillId="0" borderId="16" xfId="0" applyFont="1" applyBorder="1" applyAlignment="1">
      <alignment horizontal="center" vertical="center"/>
    </xf>
    <xf numFmtId="0" fontId="3" fillId="0" borderId="49" xfId="0" applyFont="1" applyBorder="1" applyAlignment="1">
      <alignment horizontal="center" vertical="center"/>
    </xf>
    <xf numFmtId="0" fontId="3" fillId="0" borderId="105" xfId="0" applyFont="1" applyBorder="1" applyAlignment="1">
      <alignment horizontal="center" vertical="center"/>
    </xf>
    <xf numFmtId="0" fontId="3" fillId="0" borderId="227" xfId="0" applyFont="1" applyBorder="1" applyAlignment="1">
      <alignment horizontal="center" vertical="center"/>
    </xf>
    <xf numFmtId="0" fontId="34" fillId="0" borderId="56" xfId="0" applyFont="1" applyBorder="1" applyAlignment="1">
      <alignment horizontal="center" vertical="center"/>
    </xf>
    <xf numFmtId="0" fontId="34" fillId="0" borderId="50" xfId="0" applyFont="1" applyBorder="1" applyAlignment="1">
      <alignment horizontal="center" vertical="center"/>
    </xf>
    <xf numFmtId="0" fontId="4" fillId="0" borderId="59"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3" fillId="0" borderId="23" xfId="0" applyFont="1" applyBorder="1" applyAlignment="1">
      <alignment horizontal="center" vertical="center"/>
    </xf>
    <xf numFmtId="0" fontId="4" fillId="0" borderId="0" xfId="0" applyNumberFormat="1" applyFont="1" applyBorder="1" applyAlignment="1" applyProtection="1">
      <alignment horizontal="right" vertical="center"/>
      <protection/>
    </xf>
    <xf numFmtId="168" fontId="5" fillId="0" borderId="65" xfId="0" applyNumberFormat="1" applyFont="1" applyBorder="1" applyAlignment="1" applyProtection="1">
      <alignment horizontal="left" vertical="center"/>
      <protection locked="0"/>
    </xf>
    <xf numFmtId="168" fontId="5" fillId="0" borderId="64" xfId="0" applyNumberFormat="1" applyFont="1" applyBorder="1" applyAlignment="1" applyProtection="1">
      <alignment horizontal="left" vertical="center"/>
      <protection locked="0"/>
    </xf>
    <xf numFmtId="0" fontId="4" fillId="0" borderId="59" xfId="0" applyFont="1" applyBorder="1" applyAlignment="1" applyProtection="1">
      <alignment vertical="center"/>
      <protection/>
    </xf>
    <xf numFmtId="0" fontId="4" fillId="0" borderId="65" xfId="0" applyFont="1" applyBorder="1" applyAlignment="1" applyProtection="1">
      <alignment vertical="center"/>
      <protection/>
    </xf>
    <xf numFmtId="0" fontId="15" fillId="0" borderId="59" xfId="0" applyFont="1" applyFill="1" applyBorder="1" applyAlignment="1" applyProtection="1">
      <alignment horizontal="center" vertical="center"/>
      <protection/>
    </xf>
    <xf numFmtId="0" fontId="15" fillId="0" borderId="65"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0" fontId="9" fillId="0" borderId="111"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86" xfId="0" applyFont="1" applyBorder="1" applyAlignment="1" applyProtection="1">
      <alignment horizontal="left" vertical="center"/>
      <protection/>
    </xf>
    <xf numFmtId="0" fontId="4" fillId="0" borderId="15"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44" fontId="10" fillId="0" borderId="230" xfId="0" applyNumberFormat="1" applyFont="1" applyBorder="1" applyAlignment="1" applyProtection="1">
      <alignment horizontal="right" vertical="center"/>
      <protection/>
    </xf>
    <xf numFmtId="44" fontId="10" fillId="0" borderId="50" xfId="0" applyNumberFormat="1" applyFont="1" applyBorder="1" applyAlignment="1" applyProtection="1">
      <alignment horizontal="right" vertical="center"/>
      <protection/>
    </xf>
    <xf numFmtId="44" fontId="10" fillId="0" borderId="18" xfId="0" applyNumberFormat="1" applyFont="1" applyBorder="1" applyAlignment="1" applyProtection="1">
      <alignment horizontal="right" vertical="center"/>
      <protection/>
    </xf>
    <xf numFmtId="44" fontId="10" fillId="0" borderId="13" xfId="0" applyNumberFormat="1" applyFont="1" applyBorder="1" applyAlignment="1" applyProtection="1">
      <alignment horizontal="right" vertical="center"/>
      <protection/>
    </xf>
    <xf numFmtId="44" fontId="10" fillId="0" borderId="86" xfId="0" applyNumberFormat="1" applyFont="1" applyBorder="1" applyAlignment="1" applyProtection="1">
      <alignment horizontal="right" vertical="center"/>
      <protection/>
    </xf>
    <xf numFmtId="0" fontId="4" fillId="0" borderId="63"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15" fillId="0" borderId="105" xfId="0" applyFont="1" applyBorder="1" applyAlignment="1">
      <alignment horizontal="center" vertical="center"/>
    </xf>
    <xf numFmtId="0" fontId="15" fillId="0" borderId="102" xfId="0" applyFont="1" applyBorder="1" applyAlignment="1">
      <alignment horizontal="center" vertical="center"/>
    </xf>
    <xf numFmtId="0" fontId="15" fillId="0" borderId="227"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0" xfId="0" applyFont="1" applyBorder="1" applyAlignment="1">
      <alignment horizontal="center" vertical="center"/>
    </xf>
    <xf numFmtId="44" fontId="10" fillId="0" borderId="142" xfId="0" applyNumberFormat="1" applyFont="1" applyBorder="1" applyAlignment="1" applyProtection="1">
      <alignment horizontal="right" vertical="center"/>
      <protection/>
    </xf>
    <xf numFmtId="44" fontId="10" fillId="0" borderId="12" xfId="0" applyNumberFormat="1" applyFont="1" applyBorder="1" applyAlignment="1" applyProtection="1">
      <alignment horizontal="right" vertical="center"/>
      <protection/>
    </xf>
    <xf numFmtId="44" fontId="10" fillId="0" borderId="172" xfId="0" applyNumberFormat="1" applyFont="1" applyBorder="1" applyAlignment="1" applyProtection="1">
      <alignment horizontal="right" vertical="center"/>
      <protection/>
    </xf>
    <xf numFmtId="44" fontId="10" fillId="0" borderId="65" xfId="0" applyNumberFormat="1" applyFont="1" applyBorder="1" applyAlignment="1" applyProtection="1">
      <alignment horizontal="right" vertical="center"/>
      <protection/>
    </xf>
    <xf numFmtId="44" fontId="10" fillId="0" borderId="113" xfId="0" applyNumberFormat="1" applyFont="1" applyBorder="1" applyAlignment="1" applyProtection="1">
      <alignment horizontal="right" vertical="center"/>
      <protection/>
    </xf>
    <xf numFmtId="44" fontId="10" fillId="0" borderId="114" xfId="0" applyNumberFormat="1" applyFont="1" applyBorder="1" applyAlignment="1" applyProtection="1">
      <alignment horizontal="right" vertical="center"/>
      <protection/>
    </xf>
    <xf numFmtId="44" fontId="10" fillId="0" borderId="212" xfId="0" applyNumberFormat="1" applyFont="1" applyBorder="1" applyAlignment="1" applyProtection="1">
      <alignment horizontal="right" vertical="center"/>
      <protection/>
    </xf>
    <xf numFmtId="44" fontId="10" fillId="0" borderId="57" xfId="0" applyNumberFormat="1" applyFont="1" applyBorder="1" applyAlignment="1" applyProtection="1">
      <alignment horizontal="right" vertical="center"/>
      <protection/>
    </xf>
    <xf numFmtId="0" fontId="4" fillId="0" borderId="63"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4" fillId="0" borderId="231" xfId="0" applyFont="1" applyBorder="1" applyAlignment="1" applyProtection="1">
      <alignment horizontal="center" vertical="center"/>
      <protection/>
    </xf>
    <xf numFmtId="0" fontId="4" fillId="0" borderId="123"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9" fillId="0" borderId="59" xfId="0" applyFont="1" applyBorder="1" applyAlignment="1" applyProtection="1">
      <alignment vertical="center"/>
      <protection/>
    </xf>
    <xf numFmtId="0" fontId="9" fillId="0" borderId="64"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63" xfId="0" applyFont="1" applyBorder="1" applyAlignment="1" applyProtection="1">
      <alignment horizontal="center" vertical="center" wrapText="1"/>
      <protection/>
    </xf>
    <xf numFmtId="0" fontId="4" fillId="0" borderId="95" xfId="0" applyFont="1" applyBorder="1" applyAlignment="1" applyProtection="1">
      <alignment horizontal="center" vertical="center" wrapText="1"/>
      <protection/>
    </xf>
    <xf numFmtId="0" fontId="9" fillId="0" borderId="65" xfId="0" applyFont="1" applyBorder="1" applyAlignment="1">
      <alignment vertical="center"/>
    </xf>
    <xf numFmtId="0" fontId="5" fillId="0" borderId="53" xfId="0" applyFont="1" applyBorder="1" applyAlignment="1">
      <alignment vertical="center"/>
    </xf>
    <xf numFmtId="0" fontId="4" fillId="0" borderId="54" xfId="0" applyFont="1" applyBorder="1" applyAlignment="1" applyProtection="1">
      <alignment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4" fillId="0" borderId="230" xfId="0" applyFont="1" applyBorder="1" applyAlignment="1" applyProtection="1">
      <alignment vertical="center"/>
      <protection/>
    </xf>
    <xf numFmtId="0" fontId="9" fillId="0" borderId="12"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64" xfId="0" applyFont="1" applyBorder="1" applyAlignment="1">
      <alignment vertical="center"/>
    </xf>
    <xf numFmtId="0" fontId="9" fillId="37" borderId="123" xfId="0" applyFont="1" applyFill="1" applyBorder="1" applyAlignment="1" applyProtection="1">
      <alignment vertical="center"/>
      <protection/>
    </xf>
    <xf numFmtId="0" fontId="9" fillId="37" borderId="54" xfId="0" applyFont="1" applyFill="1" applyBorder="1" applyAlignment="1" applyProtection="1">
      <alignment vertical="center"/>
      <protection/>
    </xf>
    <xf numFmtId="0" fontId="9" fillId="0" borderId="65" xfId="0" applyFont="1" applyBorder="1" applyAlignment="1" applyProtection="1">
      <alignment horizontal="left" vertical="center"/>
      <protection/>
    </xf>
    <xf numFmtId="0" fontId="9" fillId="0" borderId="64" xfId="0" applyFont="1" applyBorder="1" applyAlignment="1" applyProtection="1">
      <alignment horizontal="left" vertical="center"/>
      <protection/>
    </xf>
    <xf numFmtId="0" fontId="9" fillId="37" borderId="59" xfId="0" applyFont="1" applyFill="1" applyBorder="1" applyAlignment="1" applyProtection="1">
      <alignment vertical="center"/>
      <protection/>
    </xf>
    <xf numFmtId="0" fontId="9" fillId="37" borderId="64" xfId="0" applyFont="1" applyFill="1" applyBorder="1" applyAlignment="1" applyProtection="1">
      <alignment vertical="center"/>
      <protection/>
    </xf>
    <xf numFmtId="0" fontId="4" fillId="37" borderId="112" xfId="0" applyFont="1" applyFill="1" applyBorder="1" applyAlignment="1" applyProtection="1">
      <alignment horizontal="center" vertical="center"/>
      <protection/>
    </xf>
    <xf numFmtId="0" fontId="4" fillId="37" borderId="95" xfId="0" applyFont="1" applyFill="1" applyBorder="1" applyAlignment="1" applyProtection="1">
      <alignment horizontal="center" vertical="center"/>
      <protection/>
    </xf>
    <xf numFmtId="0" fontId="4" fillId="37" borderId="63" xfId="0" applyFont="1" applyFill="1" applyBorder="1" applyAlignment="1" applyProtection="1">
      <alignment horizontal="center" vertical="center"/>
      <protection/>
    </xf>
    <xf numFmtId="0" fontId="4" fillId="37" borderId="231" xfId="0" applyFont="1" applyFill="1" applyBorder="1" applyAlignment="1" applyProtection="1">
      <alignment horizontal="center" vertical="center"/>
      <protection/>
    </xf>
    <xf numFmtId="0" fontId="4" fillId="37" borderId="59" xfId="0" applyFont="1" applyFill="1" applyBorder="1" applyAlignment="1" applyProtection="1">
      <alignment horizontal="center" vertical="center" wrapText="1"/>
      <protection/>
    </xf>
    <xf numFmtId="0" fontId="4" fillId="37" borderId="64" xfId="0" applyFont="1" applyFill="1" applyBorder="1" applyAlignment="1" applyProtection="1">
      <alignment horizontal="center" vertical="center" wrapText="1"/>
      <protection/>
    </xf>
    <xf numFmtId="0" fontId="9" fillId="0" borderId="65" xfId="0" applyFont="1" applyBorder="1" applyAlignment="1" applyProtection="1">
      <alignment vertical="center"/>
      <protection/>
    </xf>
    <xf numFmtId="0" fontId="9" fillId="0" borderId="12" xfId="0" applyFont="1" applyBorder="1" applyAlignment="1" applyProtection="1">
      <alignment vertical="center"/>
      <protection/>
    </xf>
    <xf numFmtId="0" fontId="4" fillId="0" borderId="232"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9" fillId="0" borderId="56" xfId="0" applyFont="1" applyBorder="1" applyAlignment="1" applyProtection="1">
      <alignment vertical="center"/>
      <protection/>
    </xf>
    <xf numFmtId="0" fontId="9" fillId="0" borderId="50" xfId="0" applyFont="1" applyBorder="1" applyAlignment="1" applyProtection="1">
      <alignment vertical="center"/>
      <protection/>
    </xf>
    <xf numFmtId="168" fontId="5" fillId="0" borderId="123" xfId="0" applyNumberFormat="1" applyFont="1" applyBorder="1" applyAlignment="1" applyProtection="1">
      <alignment horizontal="center" vertical="center"/>
      <protection/>
    </xf>
    <xf numFmtId="168" fontId="5" fillId="0" borderId="61" xfId="0" applyNumberFormat="1" applyFont="1" applyBorder="1" applyAlignment="1" applyProtection="1">
      <alignment horizontal="center" vertical="center"/>
      <protection/>
    </xf>
    <xf numFmtId="0" fontId="9" fillId="0" borderId="123" xfId="0" applyFont="1" applyBorder="1" applyAlignment="1" applyProtection="1">
      <alignment vertical="center"/>
      <protection/>
    </xf>
    <xf numFmtId="0" fontId="9" fillId="0" borderId="54" xfId="0" applyFont="1" applyBorder="1" applyAlignment="1" applyProtection="1">
      <alignment vertical="center"/>
      <protection/>
    </xf>
    <xf numFmtId="0" fontId="9" fillId="0" borderId="65"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4" fillId="0" borderId="64" xfId="0" applyFont="1" applyBorder="1" applyAlignment="1" applyProtection="1">
      <alignment vertical="center"/>
      <protection/>
    </xf>
    <xf numFmtId="168" fontId="9" fillId="0" borderId="59" xfId="0" applyNumberFormat="1" applyFont="1" applyBorder="1" applyAlignment="1" applyProtection="1">
      <alignment horizontal="center" vertical="center"/>
      <protection/>
    </xf>
    <xf numFmtId="168" fontId="9" fillId="0" borderId="64" xfId="0" applyNumberFormat="1" applyFont="1" applyBorder="1" applyAlignment="1" applyProtection="1">
      <alignment horizontal="center" vertical="center"/>
      <protection/>
    </xf>
    <xf numFmtId="0" fontId="4" fillId="0" borderId="233" xfId="0" applyFont="1" applyBorder="1" applyAlignment="1" applyProtection="1">
      <alignment vertical="center"/>
      <protection/>
    </xf>
    <xf numFmtId="0" fontId="7" fillId="0" borderId="56" xfId="0" applyFont="1" applyBorder="1" applyAlignment="1">
      <alignment vertical="center"/>
    </xf>
    <xf numFmtId="0" fontId="7" fillId="0" borderId="12" xfId="0" applyFont="1" applyBorder="1" applyAlignment="1">
      <alignment vertical="center"/>
    </xf>
    <xf numFmtId="0" fontId="0" fillId="0" borderId="56" xfId="0" applyBorder="1" applyAlignment="1">
      <alignment vertical="center"/>
    </xf>
    <xf numFmtId="0" fontId="0" fillId="0" borderId="12" xfId="0" applyBorder="1" applyAlignment="1">
      <alignment vertical="center"/>
    </xf>
    <xf numFmtId="0" fontId="9" fillId="0" borderId="56" xfId="0" applyFont="1" applyBorder="1" applyAlignment="1" applyProtection="1">
      <alignment horizontal="center" vertical="center"/>
      <protection/>
    </xf>
    <xf numFmtId="168" fontId="9" fillId="0" borderId="123" xfId="0" applyNumberFormat="1" applyFont="1" applyBorder="1" applyAlignment="1" applyProtection="1">
      <alignment horizontal="center" vertical="center"/>
      <protection/>
    </xf>
    <xf numFmtId="168" fontId="9" fillId="0" borderId="54" xfId="0" applyNumberFormat="1" applyFont="1" applyBorder="1" applyAlignment="1" applyProtection="1">
      <alignment horizontal="center" vertical="center"/>
      <protection/>
    </xf>
    <xf numFmtId="0" fontId="9" fillId="0" borderId="65" xfId="0" applyFont="1" applyBorder="1" applyAlignment="1" applyProtection="1">
      <alignment vertical="center" shrinkToFit="1"/>
      <protection/>
    </xf>
    <xf numFmtId="0" fontId="9" fillId="0" borderId="64" xfId="0" applyFont="1" applyBorder="1" applyAlignment="1" applyProtection="1">
      <alignment vertical="center" shrinkToFit="1"/>
      <protection/>
    </xf>
    <xf numFmtId="0" fontId="4" fillId="0" borderId="132" xfId="0" applyFont="1" applyBorder="1" applyAlignment="1" applyProtection="1">
      <alignment vertical="center"/>
      <protection/>
    </xf>
    <xf numFmtId="0" fontId="9" fillId="0" borderId="53" xfId="0" applyFont="1" applyBorder="1" applyAlignment="1">
      <alignment vertical="center"/>
    </xf>
    <xf numFmtId="0" fontId="9" fillId="0" borderId="56" xfId="0" applyFont="1" applyBorder="1" applyAlignment="1">
      <alignment horizontal="center" vertical="center"/>
    </xf>
    <xf numFmtId="0" fontId="9" fillId="0" borderId="12" xfId="0" applyFont="1" applyBorder="1" applyAlignment="1">
      <alignment horizontal="center" vertical="center"/>
    </xf>
    <xf numFmtId="0" fontId="4" fillId="0" borderId="59"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0" fontId="35" fillId="0" borderId="0" xfId="0" applyFont="1" applyAlignment="1" applyProtection="1">
      <alignment horizontal="center" vertical="center"/>
      <protection locked="0"/>
    </xf>
    <xf numFmtId="0" fontId="4" fillId="37" borderId="232" xfId="0" applyFont="1" applyFill="1" applyBorder="1" applyAlignment="1" applyProtection="1">
      <alignment horizontal="center" vertical="center"/>
      <protection/>
    </xf>
    <xf numFmtId="0" fontId="9" fillId="0" borderId="11" xfId="0" applyFont="1" applyFill="1" applyBorder="1" applyAlignment="1" applyProtection="1">
      <alignment horizontal="right"/>
      <protection/>
    </xf>
    <xf numFmtId="0" fontId="10" fillId="0" borderId="11"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xf>
    <xf numFmtId="0" fontId="9" fillId="0" borderId="11" xfId="0" applyFont="1" applyBorder="1" applyAlignment="1">
      <alignment horizontal="left"/>
    </xf>
    <xf numFmtId="0" fontId="5" fillId="33" borderId="11" xfId="0" applyFont="1" applyFill="1" applyBorder="1" applyAlignment="1" applyProtection="1">
      <alignment horizontal="right"/>
      <protection locked="0"/>
    </xf>
    <xf numFmtId="0" fontId="5" fillId="33" borderId="11" xfId="0" applyFont="1" applyFill="1" applyBorder="1" applyAlignment="1" applyProtection="1">
      <alignment horizontal="center"/>
      <protection locked="0"/>
    </xf>
    <xf numFmtId="0" fontId="3" fillId="0" borderId="0" xfId="0" applyFont="1" applyAlignment="1">
      <alignment horizontal="right"/>
    </xf>
    <xf numFmtId="0" fontId="4" fillId="33" borderId="11" xfId="0" applyFont="1" applyFill="1" applyBorder="1" applyAlignment="1">
      <alignment horizontal="center"/>
    </xf>
    <xf numFmtId="0" fontId="4" fillId="0" borderId="14" xfId="0" applyFont="1" applyBorder="1" applyAlignment="1">
      <alignment horizontal="left"/>
    </xf>
    <xf numFmtId="0" fontId="9" fillId="33" borderId="11" xfId="0" applyFont="1" applyFill="1" applyBorder="1" applyAlignment="1">
      <alignment horizontal="right"/>
    </xf>
    <xf numFmtId="0" fontId="4" fillId="0" borderId="13" xfId="0" applyFont="1" applyBorder="1" applyAlignment="1">
      <alignment horizontal="left"/>
    </xf>
    <xf numFmtId="0" fontId="3" fillId="0" borderId="0" xfId="0" applyFont="1" applyAlignment="1">
      <alignment/>
    </xf>
    <xf numFmtId="0" fontId="9" fillId="0" borderId="31" xfId="0" applyFont="1" applyBorder="1" applyAlignment="1">
      <alignment horizontal="right"/>
    </xf>
    <xf numFmtId="0" fontId="9" fillId="0" borderId="35" xfId="0" applyFont="1" applyBorder="1" applyAlignment="1">
      <alignment horizontal="righ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9" fillId="0" borderId="216" xfId="0" applyFont="1" applyBorder="1" applyAlignment="1">
      <alignment horizontal="right"/>
    </xf>
    <xf numFmtId="0" fontId="9" fillId="0" borderId="217" xfId="0" applyFont="1" applyBorder="1" applyAlignment="1">
      <alignment horizontal="right"/>
    </xf>
    <xf numFmtId="0" fontId="9" fillId="0" borderId="14" xfId="0" applyFont="1" applyBorder="1" applyAlignment="1">
      <alignment horizontal="center"/>
    </xf>
    <xf numFmtId="0" fontId="9" fillId="0" borderId="24" xfId="0" applyFont="1" applyBorder="1" applyAlignment="1">
      <alignment horizontal="right"/>
    </xf>
    <xf numFmtId="0" fontId="9" fillId="0" borderId="204" xfId="0" applyFont="1" applyBorder="1" applyAlignment="1">
      <alignment horizontal="right"/>
    </xf>
    <xf numFmtId="0" fontId="4" fillId="0" borderId="24" xfId="0" applyFont="1" applyBorder="1" applyAlignment="1">
      <alignment/>
    </xf>
    <xf numFmtId="0" fontId="4" fillId="0" borderId="204" xfId="0" applyFont="1" applyBorder="1" applyAlignment="1">
      <alignment/>
    </xf>
    <xf numFmtId="0" fontId="9" fillId="0" borderId="234" xfId="0" applyFont="1" applyFill="1" applyBorder="1" applyAlignment="1">
      <alignment horizontal="right"/>
    </xf>
    <xf numFmtId="0" fontId="9" fillId="0" borderId="24" xfId="0" applyFont="1" applyFill="1" applyBorder="1" applyAlignment="1">
      <alignment horizontal="right"/>
    </xf>
    <xf numFmtId="0" fontId="9" fillId="0" borderId="204" xfId="0" applyFont="1" applyFill="1" applyBorder="1" applyAlignment="1">
      <alignment horizontal="right"/>
    </xf>
    <xf numFmtId="0" fontId="4" fillId="0" borderId="13" xfId="0" applyFont="1" applyBorder="1" applyAlignment="1">
      <alignment/>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9" fillId="0" borderId="13" xfId="0" applyFont="1" applyBorder="1" applyAlignment="1">
      <alignment horizontal="center"/>
    </xf>
    <xf numFmtId="0" fontId="5" fillId="0" borderId="0" xfId="0" applyFont="1" applyAlignment="1">
      <alignment/>
    </xf>
    <xf numFmtId="0" fontId="9" fillId="0" borderId="0" xfId="0" applyFont="1" applyAlignment="1">
      <alignment horizontal="center"/>
    </xf>
    <xf numFmtId="0" fontId="3" fillId="0" borderId="0" xfId="0" applyFont="1" applyAlignment="1">
      <alignment horizontal="left"/>
    </xf>
    <xf numFmtId="0" fontId="3" fillId="0" borderId="13" xfId="0" applyFont="1" applyBorder="1" applyAlignment="1">
      <alignment horizontal="left"/>
    </xf>
    <xf numFmtId="0" fontId="9" fillId="0" borderId="0" xfId="0" applyFont="1" applyBorder="1" applyAlignment="1">
      <alignment horizontal="right"/>
    </xf>
    <xf numFmtId="0" fontId="4" fillId="0" borderId="14" xfId="0" applyFont="1" applyBorder="1" applyAlignment="1">
      <alignment horizontal="center"/>
    </xf>
    <xf numFmtId="0" fontId="9" fillId="0" borderId="14" xfId="0" applyFont="1" applyBorder="1" applyAlignment="1">
      <alignment horizontal="right"/>
    </xf>
    <xf numFmtId="0" fontId="9" fillId="0" borderId="0" xfId="0" applyFont="1" applyAlignment="1">
      <alignment horizontal="right"/>
    </xf>
    <xf numFmtId="0" fontId="4" fillId="0" borderId="0" xfId="0" applyFont="1" applyAlignment="1">
      <alignment horizontal="right"/>
    </xf>
    <xf numFmtId="0" fontId="4" fillId="0" borderId="13" xfId="0" applyFont="1" applyBorder="1" applyAlignment="1">
      <alignment horizontal="center"/>
    </xf>
    <xf numFmtId="0" fontId="9" fillId="0" borderId="13" xfId="0" applyFont="1" applyBorder="1" applyAlignment="1">
      <alignment horizontal="right"/>
    </xf>
    <xf numFmtId="0" fontId="9" fillId="33" borderId="31" xfId="0" applyFont="1" applyFill="1" applyBorder="1" applyAlignment="1">
      <alignment horizontal="right"/>
    </xf>
    <xf numFmtId="0" fontId="9" fillId="33" borderId="35" xfId="0" applyFont="1" applyFill="1" applyBorder="1" applyAlignment="1">
      <alignment horizontal="right"/>
    </xf>
    <xf numFmtId="0" fontId="10" fillId="0" borderId="31" xfId="0" applyFont="1" applyBorder="1" applyAlignment="1">
      <alignment horizontal="center"/>
    </xf>
    <xf numFmtId="0" fontId="10" fillId="0" borderId="14" xfId="0" applyFont="1" applyBorder="1" applyAlignment="1">
      <alignment horizontal="center"/>
    </xf>
    <xf numFmtId="0" fontId="9" fillId="0" borderId="31" xfId="0" applyFont="1" applyBorder="1" applyAlignment="1">
      <alignment horizontal="left"/>
    </xf>
    <xf numFmtId="0" fontId="9" fillId="0" borderId="35" xfId="0" applyFont="1" applyBorder="1" applyAlignment="1">
      <alignment horizontal="left"/>
    </xf>
    <xf numFmtId="0" fontId="9" fillId="0" borderId="37" xfId="0" applyFont="1" applyBorder="1" applyAlignment="1">
      <alignment horizontal="center"/>
    </xf>
    <xf numFmtId="0" fontId="9" fillId="0" borderId="215" xfId="0" applyFont="1" applyBorder="1" applyAlignment="1">
      <alignment horizontal="center"/>
    </xf>
    <xf numFmtId="0" fontId="9" fillId="0" borderId="216" xfId="0" applyFont="1" applyBorder="1" applyAlignment="1">
      <alignment horizontal="left"/>
    </xf>
    <xf numFmtId="0" fontId="9" fillId="0" borderId="217" xfId="0" applyFont="1" applyBorder="1" applyAlignment="1">
      <alignment horizontal="left"/>
    </xf>
    <xf numFmtId="0" fontId="3" fillId="0" borderId="37" xfId="0" applyFont="1" applyBorder="1" applyAlignment="1">
      <alignment/>
    </xf>
    <xf numFmtId="0" fontId="4" fillId="0" borderId="0" xfId="0" applyFont="1" applyBorder="1" applyAlignment="1">
      <alignment vertical="center" wrapText="1"/>
    </xf>
    <xf numFmtId="0" fontId="9" fillId="0" borderId="14" xfId="0" applyFont="1" applyFill="1" applyBorder="1" applyAlignment="1">
      <alignment horizontal="center"/>
    </xf>
    <xf numFmtId="0" fontId="9" fillId="0" borderId="35" xfId="0" applyFont="1" applyFill="1" applyBorder="1" applyAlignment="1">
      <alignment horizontal="center"/>
    </xf>
    <xf numFmtId="0" fontId="7" fillId="0" borderId="12" xfId="0" applyFont="1" applyBorder="1" applyAlignment="1" applyProtection="1">
      <alignment/>
      <protection/>
    </xf>
    <xf numFmtId="3" fontId="7" fillId="0" borderId="12" xfId="0" applyNumberFormat="1" applyFont="1" applyBorder="1" applyAlignment="1" applyProtection="1">
      <alignment horizontal="left"/>
      <protection/>
    </xf>
    <xf numFmtId="0" fontId="6" fillId="0" borderId="12" xfId="0" applyFont="1" applyBorder="1" applyAlignment="1" applyProtection="1">
      <alignment horizontal="left"/>
      <protection locked="0"/>
    </xf>
    <xf numFmtId="3" fontId="7" fillId="0" borderId="12" xfId="0" applyNumberFormat="1" applyFont="1" applyBorder="1" applyAlignment="1" applyProtection="1">
      <alignment/>
      <protection/>
    </xf>
    <xf numFmtId="164" fontId="7" fillId="0" borderId="12" xfId="0" applyNumberFormat="1" applyFont="1" applyBorder="1" applyAlignment="1" applyProtection="1">
      <alignment horizontal="left"/>
      <protection/>
    </xf>
    <xf numFmtId="3" fontId="7" fillId="0" borderId="65" xfId="0" applyNumberFormat="1" applyFont="1" applyBorder="1" applyAlignment="1" applyProtection="1">
      <alignment/>
      <protection/>
    </xf>
    <xf numFmtId="0" fontId="7" fillId="0" borderId="12" xfId="0" applyFont="1" applyBorder="1" applyAlignment="1" applyProtection="1">
      <alignment horizontal="left"/>
      <protection/>
    </xf>
    <xf numFmtId="2" fontId="7" fillId="0" borderId="12" xfId="0" applyNumberFormat="1" applyFont="1" applyBorder="1" applyAlignment="1" applyProtection="1">
      <alignment horizontal="left"/>
      <protection/>
    </xf>
    <xf numFmtId="0" fontId="7" fillId="0" borderId="16" xfId="0" applyFont="1" applyBorder="1" applyAlignment="1">
      <alignment horizontal="center"/>
    </xf>
    <xf numFmtId="0" fontId="7" fillId="0" borderId="0" xfId="0" applyFont="1" applyBorder="1" applyAlignment="1">
      <alignment horizontal="center"/>
    </xf>
    <xf numFmtId="0" fontId="7" fillId="0" borderId="49" xfId="0" applyFont="1" applyBorder="1" applyAlignment="1">
      <alignment horizontal="center"/>
    </xf>
    <xf numFmtId="0" fontId="0" fillId="0" borderId="105" xfId="0" applyFont="1" applyBorder="1" applyAlignment="1">
      <alignment horizontal="center"/>
    </xf>
    <xf numFmtId="0" fontId="0" fillId="0" borderId="102" xfId="0" applyFont="1" applyBorder="1" applyAlignment="1">
      <alignment horizontal="center"/>
    </xf>
    <xf numFmtId="0" fontId="0" fillId="0" borderId="227"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49" xfId="0" applyFont="1" applyBorder="1" applyAlignment="1">
      <alignment horizontal="center"/>
    </xf>
    <xf numFmtId="0" fontId="2" fillId="0" borderId="0" xfId="0" applyFont="1" applyAlignment="1" applyProtection="1">
      <alignment horizontal="center" vertical="center"/>
      <protection/>
    </xf>
    <xf numFmtId="0" fontId="7" fillId="0" borderId="65" xfId="0" applyFont="1" applyBorder="1" applyAlignment="1" applyProtection="1">
      <alignment horizontal="left"/>
      <protection/>
    </xf>
    <xf numFmtId="0" fontId="26" fillId="0" borderId="65" xfId="0" applyFont="1" applyBorder="1" applyAlignment="1" applyProtection="1">
      <alignment horizontal="left"/>
      <protection/>
    </xf>
    <xf numFmtId="0" fontId="7" fillId="0" borderId="65" xfId="0" applyFont="1" applyBorder="1" applyAlignment="1" applyProtection="1">
      <alignment shrinkToFit="1"/>
      <protection/>
    </xf>
    <xf numFmtId="3" fontId="7" fillId="0" borderId="65" xfId="0" applyNumberFormat="1" applyFont="1" applyBorder="1" applyAlignment="1" applyProtection="1">
      <alignment horizontal="center"/>
      <protection/>
    </xf>
    <xf numFmtId="0" fontId="0" fillId="0" borderId="0" xfId="0" applyFont="1" applyAlignment="1">
      <alignment/>
    </xf>
    <xf numFmtId="0" fontId="0" fillId="0" borderId="0" xfId="0" applyAlignment="1">
      <alignment/>
    </xf>
    <xf numFmtId="0" fontId="24" fillId="38" borderId="0" xfId="53" applyFill="1" applyAlignment="1" applyProtection="1">
      <alignment/>
      <protection/>
    </xf>
    <xf numFmtId="0" fontId="30" fillId="35" borderId="23" xfId="0" applyFont="1" applyFill="1" applyBorder="1" applyAlignment="1">
      <alignment horizontal="center" vertical="center" wrapText="1"/>
    </xf>
    <xf numFmtId="0" fontId="13" fillId="0" borderId="235" xfId="0" applyFont="1" applyBorder="1" applyAlignment="1">
      <alignment horizontal="left"/>
    </xf>
    <xf numFmtId="0" fontId="13" fillId="0" borderId="236" xfId="0" applyFont="1" applyBorder="1" applyAlignment="1">
      <alignment horizontal="left"/>
    </xf>
    <xf numFmtId="0" fontId="13" fillId="0" borderId="237" xfId="0" applyFont="1" applyBorder="1" applyAlignment="1">
      <alignment horizontal="left"/>
    </xf>
    <xf numFmtId="0" fontId="0" fillId="0" borderId="235" xfId="0" applyFont="1" applyBorder="1" applyAlignment="1">
      <alignment horizontal="center"/>
    </xf>
    <xf numFmtId="0" fontId="0" fillId="0" borderId="236" xfId="0" applyFont="1" applyBorder="1" applyAlignment="1">
      <alignment horizontal="center"/>
    </xf>
    <xf numFmtId="0" fontId="0" fillId="0" borderId="237" xfId="0" applyFont="1" applyBorder="1" applyAlignment="1">
      <alignment horizontal="center"/>
    </xf>
    <xf numFmtId="0" fontId="2" fillId="0" borderId="217" xfId="0" applyFont="1" applyBorder="1" applyAlignment="1">
      <alignment horizontal="left"/>
    </xf>
    <xf numFmtId="0" fontId="2" fillId="0" borderId="69" xfId="0" applyFont="1" applyBorder="1" applyAlignment="1">
      <alignment horizontal="left"/>
    </xf>
    <xf numFmtId="0" fontId="4" fillId="0" borderId="40" xfId="0" applyFont="1" applyBorder="1" applyAlignment="1" applyProtection="1">
      <alignment/>
      <protection/>
    </xf>
    <xf numFmtId="0" fontId="4" fillId="0" borderId="87" xfId="0" applyFont="1" applyBorder="1" applyAlignment="1" applyProtection="1">
      <alignment/>
      <protection/>
    </xf>
    <xf numFmtId="0" fontId="9" fillId="0" borderId="40" xfId="0" applyFont="1" applyBorder="1" applyAlignment="1" applyProtection="1">
      <alignment horizontal="left"/>
      <protection/>
    </xf>
    <xf numFmtId="0" fontId="9" fillId="0" borderId="14" xfId="0" applyFont="1" applyBorder="1" applyAlignment="1" applyProtection="1">
      <alignment horizontal="left"/>
      <protection/>
    </xf>
    <xf numFmtId="0" fontId="9" fillId="0" borderId="87" xfId="0" applyFont="1" applyBorder="1" applyAlignment="1" applyProtection="1">
      <alignment horizontal="left"/>
      <protection/>
    </xf>
    <xf numFmtId="0" fontId="4" fillId="0" borderId="238" xfId="0" applyFont="1" applyBorder="1" applyAlignment="1" applyProtection="1">
      <alignment/>
      <protection/>
    </xf>
    <xf numFmtId="0" fontId="4" fillId="0" borderId="239" xfId="0" applyFont="1" applyBorder="1" applyAlignment="1" applyProtection="1">
      <alignment/>
      <protection/>
    </xf>
    <xf numFmtId="0" fontId="9" fillId="0" borderId="90" xfId="0" applyFont="1" applyBorder="1" applyAlignment="1" applyProtection="1">
      <alignment horizontal="left"/>
      <protection/>
    </xf>
    <xf numFmtId="0" fontId="9" fillId="0" borderId="113" xfId="0" applyFont="1" applyBorder="1" applyAlignment="1" applyProtection="1">
      <alignment horizontal="left"/>
      <protection/>
    </xf>
    <xf numFmtId="0" fontId="9" fillId="0" borderId="94" xfId="0" applyFont="1" applyBorder="1" applyAlignment="1" applyProtection="1">
      <alignment horizontal="left"/>
      <protection/>
    </xf>
    <xf numFmtId="0" fontId="3" fillId="0" borderId="240" xfId="0" applyFont="1" applyBorder="1" applyAlignment="1" applyProtection="1">
      <alignment horizontal="center"/>
      <protection/>
    </xf>
    <xf numFmtId="0" fontId="3" fillId="0" borderId="241" xfId="0" applyFont="1" applyBorder="1" applyAlignment="1" applyProtection="1">
      <alignment horizontal="center"/>
      <protection/>
    </xf>
    <xf numFmtId="0" fontId="3" fillId="0" borderId="242" xfId="0" applyFont="1" applyBorder="1" applyAlignment="1" applyProtection="1">
      <alignment horizontal="center"/>
      <protection/>
    </xf>
    <xf numFmtId="0" fontId="4" fillId="0" borderId="111" xfId="0" applyFont="1" applyBorder="1" applyAlignment="1" applyProtection="1">
      <alignment/>
      <protection/>
    </xf>
    <xf numFmtId="0" fontId="4" fillId="0" borderId="86" xfId="0" applyFont="1" applyBorder="1" applyAlignment="1" applyProtection="1">
      <alignment/>
      <protection/>
    </xf>
    <xf numFmtId="0" fontId="4" fillId="0" borderId="40"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87" xfId="0" applyFont="1" applyBorder="1" applyAlignment="1" applyProtection="1">
      <alignment horizontal="left"/>
      <protection/>
    </xf>
    <xf numFmtId="0" fontId="4" fillId="0" borderId="238" xfId="0" applyFont="1" applyBorder="1" applyAlignment="1" applyProtection="1">
      <alignment horizontal="left"/>
      <protection/>
    </xf>
    <xf numFmtId="0" fontId="4" fillId="0" borderId="243" xfId="0" applyFont="1" applyBorder="1" applyAlignment="1" applyProtection="1">
      <alignment horizontal="left"/>
      <protection/>
    </xf>
    <xf numFmtId="0" fontId="4" fillId="0" borderId="239" xfId="0" applyFont="1" applyBorder="1" applyAlignment="1" applyProtection="1">
      <alignment horizontal="left"/>
      <protection/>
    </xf>
    <xf numFmtId="0" fontId="4" fillId="0" borderId="17" xfId="0" applyFont="1" applyBorder="1" applyAlignment="1" applyProtection="1">
      <alignment horizontal="center" vertical="center"/>
      <protection/>
    </xf>
    <xf numFmtId="0" fontId="3" fillId="0" borderId="56"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50" xfId="0" applyFont="1" applyBorder="1" applyAlignment="1" applyProtection="1">
      <alignment horizontal="center"/>
      <protection/>
    </xf>
    <xf numFmtId="0" fontId="4" fillId="0" borderId="105" xfId="0" applyFont="1" applyBorder="1" applyAlignment="1" applyProtection="1">
      <alignment horizontal="center"/>
      <protection/>
    </xf>
    <xf numFmtId="0" fontId="4" fillId="0" borderId="102" xfId="0" applyFont="1" applyBorder="1" applyAlignment="1" applyProtection="1">
      <alignment horizontal="center"/>
      <protection/>
    </xf>
    <xf numFmtId="0" fontId="4" fillId="0" borderId="227" xfId="0" applyFont="1" applyBorder="1" applyAlignment="1" applyProtection="1">
      <alignment horizontal="center"/>
      <protection/>
    </xf>
    <xf numFmtId="0" fontId="5" fillId="0" borderId="111" xfId="0" applyFont="1" applyBorder="1" applyAlignment="1" applyProtection="1">
      <alignment/>
      <protection/>
    </xf>
    <xf numFmtId="0" fontId="5" fillId="0" borderId="13" xfId="0" applyFont="1" applyBorder="1" applyAlignment="1" applyProtection="1">
      <alignment/>
      <protection/>
    </xf>
    <xf numFmtId="0" fontId="9" fillId="0" borderId="110" xfId="0" applyFont="1" applyBorder="1" applyAlignment="1" applyProtection="1">
      <alignment horizontal="left"/>
      <protection/>
    </xf>
    <xf numFmtId="0" fontId="9" fillId="0" borderId="228" xfId="0" applyFont="1" applyBorder="1" applyAlignment="1" applyProtection="1">
      <alignment horizontal="left"/>
      <protection/>
    </xf>
    <xf numFmtId="0" fontId="9" fillId="0" borderId="221" xfId="0" applyFont="1" applyBorder="1" applyAlignment="1" applyProtection="1">
      <alignment horizontal="left"/>
      <protection/>
    </xf>
    <xf numFmtId="0" fontId="9" fillId="0" borderId="13" xfId="0" applyFont="1" applyBorder="1" applyAlignment="1" applyProtection="1">
      <alignment/>
      <protection/>
    </xf>
    <xf numFmtId="0" fontId="9" fillId="0" borderId="14" xfId="0" applyFont="1" applyBorder="1" applyAlignment="1" applyProtection="1">
      <alignment/>
      <protection/>
    </xf>
    <xf numFmtId="0" fontId="4" fillId="0" borderId="14" xfId="0" applyFont="1" applyBorder="1" applyAlignment="1" applyProtection="1">
      <alignment/>
      <protection/>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7" fillId="0" borderId="12"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0" fillId="0" borderId="16" xfId="0" applyBorder="1" applyAlignment="1">
      <alignment vertical="center"/>
    </xf>
    <xf numFmtId="0" fontId="0" fillId="0" borderId="49" xfId="0" applyBorder="1" applyAlignment="1">
      <alignment vertical="center"/>
    </xf>
    <xf numFmtId="0" fontId="6" fillId="0" borderId="65" xfId="0" applyFont="1" applyFill="1" applyBorder="1" applyAlignment="1" applyProtection="1">
      <alignment horizontal="left" vertical="center"/>
      <protection locked="0"/>
    </xf>
    <xf numFmtId="14" fontId="6" fillId="0" borderId="65" xfId="0" applyNumberFormat="1" applyFont="1" applyFill="1" applyBorder="1" applyAlignment="1" applyProtection="1">
      <alignment horizontal="left" vertical="center"/>
      <protection locked="0"/>
    </xf>
    <xf numFmtId="0" fontId="2" fillId="0" borderId="0" xfId="0" applyFont="1" applyAlignment="1">
      <alignment vertical="center"/>
    </xf>
    <xf numFmtId="0" fontId="6" fillId="35" borderId="0" xfId="0" applyFont="1" applyFill="1" applyBorder="1" applyAlignment="1" applyProtection="1">
      <alignment vertical="center"/>
      <protection locked="0"/>
    </xf>
    <xf numFmtId="0" fontId="6" fillId="35" borderId="12" xfId="0" applyFont="1" applyFill="1" applyBorder="1" applyAlignment="1" applyProtection="1">
      <alignment vertical="center"/>
      <protection locked="0"/>
    </xf>
    <xf numFmtId="0" fontId="0" fillId="0" borderId="0" xfId="0"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49" xfId="0" applyBorder="1" applyAlignment="1">
      <alignment vertical="center" wrapText="1"/>
    </xf>
    <xf numFmtId="0" fontId="0" fillId="0" borderId="0" xfId="0" applyBorder="1" applyAlignment="1">
      <alignment vertical="center" wrapText="1"/>
    </xf>
    <xf numFmtId="0" fontId="18" fillId="0" borderId="102" xfId="0" applyFont="1" applyFill="1" applyBorder="1" applyAlignment="1" applyProtection="1">
      <alignment horizontal="center" vertical="top" wrapText="1"/>
      <protection locked="0"/>
    </xf>
    <xf numFmtId="0" fontId="6" fillId="35" borderId="12" xfId="0" applyFont="1" applyFill="1" applyBorder="1" applyAlignment="1" applyProtection="1">
      <alignment horizontal="center" vertical="center"/>
      <protection locked="0"/>
    </xf>
    <xf numFmtId="0" fontId="2" fillId="0" borderId="0" xfId="0" applyFont="1" applyAlignment="1" applyProtection="1">
      <alignment vertical="top" textRotation="180"/>
      <protection/>
    </xf>
    <xf numFmtId="0" fontId="0" fillId="0" borderId="0" xfId="0" applyAlignment="1" applyProtection="1">
      <alignment textRotation="180"/>
      <protection/>
    </xf>
    <xf numFmtId="0" fontId="7" fillId="0" borderId="16" xfId="0" applyFont="1" applyFill="1" applyBorder="1" applyAlignment="1" applyProtection="1">
      <alignment vertical="top" textRotation="180"/>
      <protection locked="0"/>
    </xf>
    <xf numFmtId="0" fontId="0" fillId="0" borderId="23" xfId="0" applyBorder="1" applyAlignment="1" applyProtection="1">
      <alignment vertical="center"/>
      <protection/>
    </xf>
    <xf numFmtId="0" fontId="6" fillId="0" borderId="23" xfId="0" applyFont="1" applyFill="1" applyBorder="1" applyAlignment="1" applyProtection="1">
      <alignment vertical="center" wrapText="1"/>
      <protection locked="0"/>
    </xf>
    <xf numFmtId="0" fontId="2" fillId="0" borderId="0" xfId="0" applyFont="1" applyAlignment="1" applyProtection="1">
      <alignment textRotation="180"/>
      <protection/>
    </xf>
    <xf numFmtId="14" fontId="6" fillId="0" borderId="17" xfId="0" applyNumberFormat="1" applyFont="1" applyFill="1" applyBorder="1" applyAlignment="1" applyProtection="1">
      <alignment vertical="top" textRotation="180"/>
      <protection locked="0"/>
    </xf>
    <xf numFmtId="0" fontId="6" fillId="0" borderId="17" xfId="0" applyFont="1" applyFill="1" applyBorder="1" applyAlignment="1" applyProtection="1">
      <alignment vertical="top" textRotation="180"/>
      <protection locked="0"/>
    </xf>
    <xf numFmtId="0" fontId="7" fillId="0" borderId="17" xfId="0" applyFont="1" applyFill="1" applyBorder="1" applyAlignment="1" applyProtection="1">
      <alignment vertical="top" textRotation="180"/>
      <protection locked="0"/>
    </xf>
    <xf numFmtId="0" fontId="0" fillId="0" borderId="0" xfId="0" applyFont="1" applyAlignment="1">
      <alignment vertical="center" wrapText="1"/>
    </xf>
    <xf numFmtId="0" fontId="0" fillId="0" borderId="0" xfId="0" applyFont="1" applyAlignment="1">
      <alignment vertical="center"/>
    </xf>
    <xf numFmtId="0" fontId="0" fillId="35" borderId="0" xfId="0" applyFont="1"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0" fillId="0" borderId="49"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33" fillId="0" borderId="0" xfId="0" applyFont="1" applyAlignment="1">
      <alignment vertical="center"/>
    </xf>
    <xf numFmtId="0" fontId="0" fillId="0" borderId="0" xfId="0" applyFont="1" applyFill="1" applyBorder="1" applyAlignment="1" applyProtection="1">
      <alignment vertical="center"/>
      <protection/>
    </xf>
    <xf numFmtId="0" fontId="0" fillId="0" borderId="49" xfId="0" applyFont="1" applyBorder="1" applyAlignment="1">
      <alignment vertical="center" wrapText="1"/>
    </xf>
    <xf numFmtId="0" fontId="0" fillId="0" borderId="0"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6" fillId="0" borderId="65" xfId="0" applyFont="1" applyFill="1" applyBorder="1" applyAlignment="1" applyProtection="1">
      <alignment horizontal="left" vertical="center"/>
      <protection locked="0"/>
    </xf>
    <xf numFmtId="14" fontId="6" fillId="0" borderId="65"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xf>
    <xf numFmtId="0" fontId="7" fillId="0" borderId="65" xfId="0" applyFont="1" applyFill="1" applyBorder="1" applyAlignment="1" applyProtection="1">
      <alignment horizontal="left" vertical="center"/>
      <protection/>
    </xf>
    <xf numFmtId="0" fontId="15" fillId="0" borderId="0" xfId="0" applyFont="1" applyAlignment="1">
      <alignment vertical="center"/>
    </xf>
    <xf numFmtId="0" fontId="12" fillId="0" borderId="0" xfId="0" applyFont="1" applyAlignment="1">
      <alignment vertical="center" wrapText="1"/>
    </xf>
    <xf numFmtId="0" fontId="0" fillId="0" borderId="0" xfId="0" applyFont="1" applyBorder="1" applyAlignment="1">
      <alignment vertical="center" wrapText="1"/>
    </xf>
    <xf numFmtId="0" fontId="6" fillId="0" borderId="12" xfId="0" applyFon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xf>
    <xf numFmtId="0" fontId="33" fillId="0" borderId="0" xfId="0" applyFont="1" applyBorder="1" applyAlignment="1">
      <alignment vertical="center"/>
    </xf>
    <xf numFmtId="0" fontId="12" fillId="0" borderId="0" xfId="0" applyFont="1" applyBorder="1" applyAlignment="1">
      <alignment vertical="center" wrapText="1"/>
    </xf>
    <xf numFmtId="0" fontId="0" fillId="0" borderId="0" xfId="0" applyFont="1" applyAlignment="1">
      <alignment horizontal="right" vertical="center"/>
    </xf>
    <xf numFmtId="0" fontId="0" fillId="35" borderId="12"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strike val="0"/>
      </font>
      <fill>
        <patternFill>
          <bgColor indexed="13"/>
        </patternFill>
      </fill>
      <border>
        <left style="thin">
          <color indexed="10"/>
        </left>
        <right style="thin">
          <color indexed="10"/>
        </right>
        <top style="thin">
          <color indexed="10"/>
        </top>
        <bottom style="thin">
          <color indexed="10"/>
        </bottom>
      </border>
    </dxf>
    <dxf>
      <font>
        <b/>
        <i val="0"/>
        <strike val="0"/>
      </font>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D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11</xdr:row>
      <xdr:rowOff>0</xdr:rowOff>
    </xdr:to>
    <xdr:sp>
      <xdr:nvSpPr>
        <xdr:cNvPr id="1" name="Line 1"/>
        <xdr:cNvSpPr>
          <a:spLocks/>
        </xdr:cNvSpPr>
      </xdr:nvSpPr>
      <xdr:spPr>
        <a:xfrm>
          <a:off x="2457450" y="1628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44</xdr:row>
      <xdr:rowOff>0</xdr:rowOff>
    </xdr:to>
    <xdr:sp>
      <xdr:nvSpPr>
        <xdr:cNvPr id="2" name="Line 2"/>
        <xdr:cNvSpPr>
          <a:spLocks/>
        </xdr:cNvSpPr>
      </xdr:nvSpPr>
      <xdr:spPr>
        <a:xfrm>
          <a:off x="5000625" y="7086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67</xdr:row>
      <xdr:rowOff>0</xdr:rowOff>
    </xdr:to>
    <xdr:sp>
      <xdr:nvSpPr>
        <xdr:cNvPr id="3" name="Line 4"/>
        <xdr:cNvSpPr>
          <a:spLocks/>
        </xdr:cNvSpPr>
      </xdr:nvSpPr>
      <xdr:spPr>
        <a:xfrm>
          <a:off x="2457450" y="109728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74</xdr:row>
      <xdr:rowOff>0</xdr:rowOff>
    </xdr:to>
    <xdr:sp>
      <xdr:nvSpPr>
        <xdr:cNvPr id="4" name="Line 5"/>
        <xdr:cNvSpPr>
          <a:spLocks/>
        </xdr:cNvSpPr>
      </xdr:nvSpPr>
      <xdr:spPr>
        <a:xfrm>
          <a:off x="5000625" y="122205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5" name="Line 20"/>
        <xdr:cNvSpPr>
          <a:spLocks/>
        </xdr:cNvSpPr>
      </xdr:nvSpPr>
      <xdr:spPr>
        <a:xfrm>
          <a:off x="2457450" y="15916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6" name="Line 21"/>
        <xdr:cNvSpPr>
          <a:spLocks/>
        </xdr:cNvSpPr>
      </xdr:nvSpPr>
      <xdr:spPr>
        <a:xfrm>
          <a:off x="5000625" y="17164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7" name="Line 22"/>
        <xdr:cNvSpPr>
          <a:spLocks/>
        </xdr:cNvSpPr>
      </xdr:nvSpPr>
      <xdr:spPr>
        <a:xfrm>
          <a:off x="2457450" y="208597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8" name="Line 23"/>
        <xdr:cNvSpPr>
          <a:spLocks/>
        </xdr:cNvSpPr>
      </xdr:nvSpPr>
      <xdr:spPr>
        <a:xfrm>
          <a:off x="5000625" y="221075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9" name="Line 24"/>
        <xdr:cNvSpPr>
          <a:spLocks/>
        </xdr:cNvSpPr>
      </xdr:nvSpPr>
      <xdr:spPr>
        <a:xfrm>
          <a:off x="2457450" y="258032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0" name="Line 25"/>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11" name="Line 26"/>
        <xdr:cNvSpPr>
          <a:spLocks/>
        </xdr:cNvSpPr>
      </xdr:nvSpPr>
      <xdr:spPr>
        <a:xfrm>
          <a:off x="2457450" y="30746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12" name="Line 27"/>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13" name="Line 30"/>
        <xdr:cNvSpPr>
          <a:spLocks/>
        </xdr:cNvSpPr>
      </xdr:nvSpPr>
      <xdr:spPr>
        <a:xfrm>
          <a:off x="2457450" y="208597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14" name="Line 31"/>
        <xdr:cNvSpPr>
          <a:spLocks/>
        </xdr:cNvSpPr>
      </xdr:nvSpPr>
      <xdr:spPr>
        <a:xfrm>
          <a:off x="5000625" y="221075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15" name="Line 34"/>
        <xdr:cNvSpPr>
          <a:spLocks/>
        </xdr:cNvSpPr>
      </xdr:nvSpPr>
      <xdr:spPr>
        <a:xfrm>
          <a:off x="2457450" y="258032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6" name="Line 35"/>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17" name="Line 38"/>
        <xdr:cNvSpPr>
          <a:spLocks/>
        </xdr:cNvSpPr>
      </xdr:nvSpPr>
      <xdr:spPr>
        <a:xfrm>
          <a:off x="2457450" y="258032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8" name="Line 39"/>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19" name="Line 42"/>
        <xdr:cNvSpPr>
          <a:spLocks/>
        </xdr:cNvSpPr>
      </xdr:nvSpPr>
      <xdr:spPr>
        <a:xfrm>
          <a:off x="2457450" y="30746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0" name="Line 43"/>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21" name="Line 46"/>
        <xdr:cNvSpPr>
          <a:spLocks/>
        </xdr:cNvSpPr>
      </xdr:nvSpPr>
      <xdr:spPr>
        <a:xfrm>
          <a:off x="2457450" y="30746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2" name="Line 47"/>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23" name="Line 50"/>
        <xdr:cNvSpPr>
          <a:spLocks/>
        </xdr:cNvSpPr>
      </xdr:nvSpPr>
      <xdr:spPr>
        <a:xfrm>
          <a:off x="2457450" y="30746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4" name="Line 51"/>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74</xdr:row>
      <xdr:rowOff>0</xdr:rowOff>
    </xdr:to>
    <xdr:sp>
      <xdr:nvSpPr>
        <xdr:cNvPr id="25" name="Line 52"/>
        <xdr:cNvSpPr>
          <a:spLocks/>
        </xdr:cNvSpPr>
      </xdr:nvSpPr>
      <xdr:spPr>
        <a:xfrm>
          <a:off x="5000625" y="122205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26" name="Line 53"/>
        <xdr:cNvSpPr>
          <a:spLocks/>
        </xdr:cNvSpPr>
      </xdr:nvSpPr>
      <xdr:spPr>
        <a:xfrm>
          <a:off x="5000625" y="17164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27" name="Line 54"/>
        <xdr:cNvSpPr>
          <a:spLocks/>
        </xdr:cNvSpPr>
      </xdr:nvSpPr>
      <xdr:spPr>
        <a:xfrm>
          <a:off x="5000625" y="17164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28" name="Line 55"/>
        <xdr:cNvSpPr>
          <a:spLocks/>
        </xdr:cNvSpPr>
      </xdr:nvSpPr>
      <xdr:spPr>
        <a:xfrm>
          <a:off x="5000625" y="221075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29" name="Line 56"/>
        <xdr:cNvSpPr>
          <a:spLocks/>
        </xdr:cNvSpPr>
      </xdr:nvSpPr>
      <xdr:spPr>
        <a:xfrm>
          <a:off x="5000625" y="221075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30" name="Line 57"/>
        <xdr:cNvSpPr>
          <a:spLocks/>
        </xdr:cNvSpPr>
      </xdr:nvSpPr>
      <xdr:spPr>
        <a:xfrm>
          <a:off x="5000625" y="221075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1" name="Line 58"/>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2" name="Line 59"/>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3" name="Line 60"/>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4" name="Line 61"/>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5" name="Line 62"/>
        <xdr:cNvSpPr>
          <a:spLocks/>
        </xdr:cNvSpPr>
      </xdr:nvSpPr>
      <xdr:spPr>
        <a:xfrm>
          <a:off x="5000625" y="270510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6" name="Line 63"/>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7" name="Line 64"/>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8" name="Line 65"/>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9" name="Line 66"/>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0" name="Line 67"/>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1" name="Line 68"/>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2" name="Line 69"/>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3" name="Line 70"/>
        <xdr:cNvSpPr>
          <a:spLocks/>
        </xdr:cNvSpPr>
      </xdr:nvSpPr>
      <xdr:spPr>
        <a:xfrm>
          <a:off x="5000625" y="31994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67</xdr:row>
      <xdr:rowOff>0</xdr:rowOff>
    </xdr:to>
    <xdr:sp>
      <xdr:nvSpPr>
        <xdr:cNvPr id="44" name="Line 71"/>
        <xdr:cNvSpPr>
          <a:spLocks/>
        </xdr:cNvSpPr>
      </xdr:nvSpPr>
      <xdr:spPr>
        <a:xfrm>
          <a:off x="2457450" y="109728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45" name="Line 72"/>
        <xdr:cNvSpPr>
          <a:spLocks/>
        </xdr:cNvSpPr>
      </xdr:nvSpPr>
      <xdr:spPr>
        <a:xfrm>
          <a:off x="2457450" y="15916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46" name="Line 73"/>
        <xdr:cNvSpPr>
          <a:spLocks/>
        </xdr:cNvSpPr>
      </xdr:nvSpPr>
      <xdr:spPr>
        <a:xfrm>
          <a:off x="2457450" y="15916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47" name="Line 74"/>
        <xdr:cNvSpPr>
          <a:spLocks/>
        </xdr:cNvSpPr>
      </xdr:nvSpPr>
      <xdr:spPr>
        <a:xfrm>
          <a:off x="2457450" y="208597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48" name="Line 75"/>
        <xdr:cNvSpPr>
          <a:spLocks/>
        </xdr:cNvSpPr>
      </xdr:nvSpPr>
      <xdr:spPr>
        <a:xfrm>
          <a:off x="2457450" y="208597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49" name="Line 76"/>
        <xdr:cNvSpPr>
          <a:spLocks/>
        </xdr:cNvSpPr>
      </xdr:nvSpPr>
      <xdr:spPr>
        <a:xfrm>
          <a:off x="2457450" y="258032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50" name="Line 77"/>
        <xdr:cNvSpPr>
          <a:spLocks/>
        </xdr:cNvSpPr>
      </xdr:nvSpPr>
      <xdr:spPr>
        <a:xfrm>
          <a:off x="2457450" y="258032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51" name="Line 78"/>
        <xdr:cNvSpPr>
          <a:spLocks/>
        </xdr:cNvSpPr>
      </xdr:nvSpPr>
      <xdr:spPr>
        <a:xfrm>
          <a:off x="2457450" y="30746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52" name="Line 79"/>
        <xdr:cNvSpPr>
          <a:spLocks/>
        </xdr:cNvSpPr>
      </xdr:nvSpPr>
      <xdr:spPr>
        <a:xfrm>
          <a:off x="2457450" y="30746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929"/>
  <sheetViews>
    <sheetView showGridLines="0" tabSelected="1" zoomScaleSheetLayoutView="100" zoomScalePageLayoutView="0" workbookViewId="0" topLeftCell="A1">
      <selection activeCell="P19" sqref="P19:Q19"/>
    </sheetView>
  </sheetViews>
  <sheetFormatPr defaultColWidth="9.140625" defaultRowHeight="12.75"/>
  <cols>
    <col min="1" max="1" width="6.7109375" style="217" customWidth="1"/>
    <col min="2" max="2" width="6.7109375" style="5" customWidth="1"/>
    <col min="3" max="20" width="6.7109375" style="217" customWidth="1"/>
    <col min="21" max="21" width="2.421875" style="217" customWidth="1"/>
    <col min="22" max="28" width="5.28125" style="217" customWidth="1"/>
    <col min="29" max="16384" width="9.140625" style="217" customWidth="1"/>
  </cols>
  <sheetData>
    <row r="1" spans="1:28" ht="14.25" thickBot="1" thickTop="1">
      <c r="A1" s="755" t="s">
        <v>844</v>
      </c>
      <c r="B1" s="756"/>
      <c r="C1" s="756"/>
      <c r="D1" s="756"/>
      <c r="E1" s="756"/>
      <c r="F1" s="744" t="s">
        <v>2433</v>
      </c>
      <c r="G1" s="745"/>
      <c r="H1" s="745"/>
      <c r="I1" s="745"/>
      <c r="J1" s="746"/>
      <c r="K1" s="755" t="s">
        <v>882</v>
      </c>
      <c r="L1" s="756"/>
      <c r="M1" s="756"/>
      <c r="N1" s="756"/>
      <c r="O1" s="809" t="s">
        <v>378</v>
      </c>
      <c r="P1" s="650"/>
      <c r="Q1" s="650"/>
      <c r="R1" s="650"/>
      <c r="S1" s="650"/>
      <c r="T1" s="650"/>
      <c r="U1" s="651"/>
      <c r="W1" s="585" t="s">
        <v>358</v>
      </c>
      <c r="X1" s="586"/>
      <c r="Y1" s="586"/>
      <c r="Z1" s="586"/>
      <c r="AA1" s="586"/>
      <c r="AB1" s="587"/>
    </row>
    <row r="2" spans="1:28" ht="13.5" customHeight="1" thickBot="1" thickTop="1">
      <c r="A2" s="757" t="s">
        <v>2665</v>
      </c>
      <c r="B2" s="758"/>
      <c r="C2" s="758"/>
      <c r="D2" s="758"/>
      <c r="E2" s="758"/>
      <c r="F2" s="759" t="s">
        <v>404</v>
      </c>
      <c r="G2" s="760"/>
      <c r="H2" s="760"/>
      <c r="I2" s="760"/>
      <c r="J2" s="531"/>
      <c r="K2" s="610" t="s">
        <v>3653</v>
      </c>
      <c r="L2" s="611"/>
      <c r="M2" s="611"/>
      <c r="N2" s="612"/>
      <c r="O2" s="526" t="s">
        <v>2447</v>
      </c>
      <c r="P2" s="619" t="s">
        <v>379</v>
      </c>
      <c r="Q2" s="620"/>
      <c r="R2" s="810" t="s">
        <v>380</v>
      </c>
      <c r="S2" s="811"/>
      <c r="T2" s="811"/>
      <c r="U2" s="812"/>
      <c r="W2" s="594"/>
      <c r="X2" s="595"/>
      <c r="Y2" s="595"/>
      <c r="Z2" s="595"/>
      <c r="AA2" s="595"/>
      <c r="AB2" s="596"/>
    </row>
    <row r="3" spans="1:28" s="258" customFormat="1" ht="12.75" customHeight="1">
      <c r="A3" s="563" t="s">
        <v>846</v>
      </c>
      <c r="B3" s="564"/>
      <c r="C3" s="564"/>
      <c r="D3" s="564"/>
      <c r="E3" s="565"/>
      <c r="F3" s="747" t="s">
        <v>699</v>
      </c>
      <c r="G3" s="748"/>
      <c r="H3" s="748"/>
      <c r="I3" s="748"/>
      <c r="J3" s="748"/>
      <c r="K3" s="613"/>
      <c r="L3" s="614"/>
      <c r="M3" s="614"/>
      <c r="N3" s="615"/>
      <c r="O3" s="532" t="s">
        <v>2326</v>
      </c>
      <c r="P3" s="621" t="s">
        <v>3970</v>
      </c>
      <c r="Q3" s="622"/>
      <c r="R3" s="578" t="s">
        <v>1741</v>
      </c>
      <c r="S3" s="579"/>
      <c r="T3" s="579"/>
      <c r="U3" s="580"/>
      <c r="W3" s="588" t="s">
        <v>353</v>
      </c>
      <c r="X3" s="589"/>
      <c r="Y3" s="589"/>
      <c r="Z3" s="589"/>
      <c r="AA3" s="589"/>
      <c r="AB3" s="590"/>
    </row>
    <row r="4" spans="1:28" ht="12.75">
      <c r="A4" s="734" t="s">
        <v>847</v>
      </c>
      <c r="B4" s="735"/>
      <c r="C4" s="735"/>
      <c r="D4" s="735"/>
      <c r="E4" s="736"/>
      <c r="F4" s="566" t="s">
        <v>700</v>
      </c>
      <c r="G4" s="567"/>
      <c r="H4" s="567"/>
      <c r="I4" s="567"/>
      <c r="J4" s="567"/>
      <c r="K4" s="613"/>
      <c r="L4" s="614"/>
      <c r="M4" s="614"/>
      <c r="N4" s="615"/>
      <c r="O4" s="533" t="s">
        <v>2326</v>
      </c>
      <c r="P4" s="645" t="s">
        <v>3657</v>
      </c>
      <c r="Q4" s="645"/>
      <c r="R4" s="578" t="s">
        <v>3658</v>
      </c>
      <c r="S4" s="579"/>
      <c r="T4" s="579"/>
      <c r="U4" s="580"/>
      <c r="W4" s="600" t="s">
        <v>354</v>
      </c>
      <c r="X4" s="601"/>
      <c r="Y4" s="601"/>
      <c r="Z4" s="601"/>
      <c r="AA4" s="601"/>
      <c r="AB4" s="602"/>
    </row>
    <row r="5" spans="1:28" ht="12.75">
      <c r="A5" s="563" t="s">
        <v>850</v>
      </c>
      <c r="B5" s="564"/>
      <c r="C5" s="564"/>
      <c r="D5" s="564"/>
      <c r="E5" s="565"/>
      <c r="F5" s="566">
        <v>8</v>
      </c>
      <c r="G5" s="567"/>
      <c r="H5" s="567"/>
      <c r="I5" s="567"/>
      <c r="J5" s="730"/>
      <c r="K5" s="613"/>
      <c r="L5" s="614"/>
      <c r="M5" s="614"/>
      <c r="N5" s="615"/>
      <c r="O5" s="533"/>
      <c r="P5" s="652" t="s">
        <v>3971</v>
      </c>
      <c r="Q5" s="645"/>
      <c r="R5" s="578" t="s">
        <v>1742</v>
      </c>
      <c r="S5" s="579"/>
      <c r="T5" s="579"/>
      <c r="U5" s="580"/>
      <c r="W5" s="603" t="s">
        <v>355</v>
      </c>
      <c r="X5" s="604"/>
      <c r="Y5" s="604"/>
      <c r="Z5" s="604"/>
      <c r="AA5" s="604"/>
      <c r="AB5" s="605"/>
    </row>
    <row r="6" spans="1:28" ht="12.75">
      <c r="A6" s="563" t="s">
        <v>849</v>
      </c>
      <c r="B6" s="564"/>
      <c r="C6" s="564"/>
      <c r="D6" s="564"/>
      <c r="E6" s="565"/>
      <c r="F6" s="566" t="s">
        <v>406</v>
      </c>
      <c r="G6" s="567"/>
      <c r="H6" s="567"/>
      <c r="I6" s="567"/>
      <c r="J6" s="730"/>
      <c r="K6" s="613"/>
      <c r="L6" s="614"/>
      <c r="M6" s="614"/>
      <c r="N6" s="615"/>
      <c r="O6" s="533"/>
      <c r="P6" s="652" t="s">
        <v>4049</v>
      </c>
      <c r="Q6" s="645"/>
      <c r="R6" s="642" t="s">
        <v>2449</v>
      </c>
      <c r="S6" s="642"/>
      <c r="T6" s="642"/>
      <c r="U6" s="643"/>
      <c r="W6" s="606" t="s">
        <v>356</v>
      </c>
      <c r="X6" s="607"/>
      <c r="Y6" s="607"/>
      <c r="Z6" s="607"/>
      <c r="AA6" s="607"/>
      <c r="AB6" s="608"/>
    </row>
    <row r="7" spans="1:28" ht="12.75">
      <c r="A7" s="563" t="s">
        <v>3779</v>
      </c>
      <c r="B7" s="564"/>
      <c r="C7" s="564"/>
      <c r="D7" s="564"/>
      <c r="E7" s="565"/>
      <c r="F7" s="566" t="s">
        <v>3780</v>
      </c>
      <c r="G7" s="567"/>
      <c r="H7" s="567"/>
      <c r="I7" s="567"/>
      <c r="J7" s="730"/>
      <c r="K7" s="613"/>
      <c r="L7" s="614"/>
      <c r="M7" s="614"/>
      <c r="N7" s="615"/>
      <c r="O7" s="533"/>
      <c r="P7" s="581" t="s">
        <v>2448</v>
      </c>
      <c r="Q7" s="582"/>
      <c r="R7" s="578" t="s">
        <v>2451</v>
      </c>
      <c r="S7" s="579"/>
      <c r="T7" s="579"/>
      <c r="U7" s="580"/>
      <c r="W7" s="591" t="s">
        <v>357</v>
      </c>
      <c r="X7" s="592"/>
      <c r="Y7" s="592"/>
      <c r="Z7" s="592"/>
      <c r="AA7" s="592"/>
      <c r="AB7" s="593"/>
    </row>
    <row r="8" spans="1:29" ht="12.75">
      <c r="A8" s="563" t="s">
        <v>854</v>
      </c>
      <c r="B8" s="564"/>
      <c r="C8" s="564"/>
      <c r="D8" s="564"/>
      <c r="E8" s="565"/>
      <c r="F8" s="749">
        <v>39887</v>
      </c>
      <c r="G8" s="750"/>
      <c r="H8" s="750"/>
      <c r="I8" s="750"/>
      <c r="J8" s="751"/>
      <c r="K8" s="613"/>
      <c r="L8" s="614"/>
      <c r="M8" s="614"/>
      <c r="N8" s="615"/>
      <c r="O8" s="533"/>
      <c r="P8" s="581" t="s">
        <v>2452</v>
      </c>
      <c r="Q8" s="582"/>
      <c r="R8" s="578" t="s">
        <v>3644</v>
      </c>
      <c r="S8" s="579"/>
      <c r="T8" s="579"/>
      <c r="U8" s="580"/>
      <c r="W8" s="597"/>
      <c r="X8" s="598"/>
      <c r="Y8" s="598"/>
      <c r="Z8" s="598"/>
      <c r="AA8" s="598"/>
      <c r="AB8" s="599"/>
      <c r="AC8" s="259"/>
    </row>
    <row r="9" spans="1:28" ht="13.5" thickBot="1">
      <c r="A9" s="719" t="s">
        <v>1759</v>
      </c>
      <c r="B9" s="720"/>
      <c r="C9" s="720"/>
      <c r="D9" s="720"/>
      <c r="E9" s="721"/>
      <c r="F9" s="752">
        <v>39948</v>
      </c>
      <c r="G9" s="753"/>
      <c r="H9" s="753"/>
      <c r="I9" s="753"/>
      <c r="J9" s="754"/>
      <c r="K9" s="616"/>
      <c r="L9" s="617"/>
      <c r="M9" s="617"/>
      <c r="N9" s="618"/>
      <c r="O9" s="533"/>
      <c r="P9" s="581" t="s">
        <v>3645</v>
      </c>
      <c r="Q9" s="582"/>
      <c r="R9" s="578" t="s">
        <v>3646</v>
      </c>
      <c r="S9" s="579"/>
      <c r="T9" s="579"/>
      <c r="U9" s="580"/>
      <c r="W9" s="572" t="s">
        <v>359</v>
      </c>
      <c r="X9" s="573"/>
      <c r="Y9" s="573"/>
      <c r="Z9" s="573"/>
      <c r="AA9" s="573"/>
      <c r="AB9" s="574"/>
    </row>
    <row r="10" spans="1:28" ht="13.5" thickBot="1">
      <c r="A10" s="649" t="s">
        <v>3652</v>
      </c>
      <c r="B10" s="650"/>
      <c r="C10" s="650"/>
      <c r="D10" s="650"/>
      <c r="E10" s="650"/>
      <c r="F10" s="650"/>
      <c r="G10" s="650"/>
      <c r="H10" s="650"/>
      <c r="I10" s="650"/>
      <c r="J10" s="650"/>
      <c r="K10" s="806" t="s">
        <v>362</v>
      </c>
      <c r="L10" s="807"/>
      <c r="M10" s="807"/>
      <c r="N10" s="807"/>
      <c r="O10" s="318"/>
      <c r="P10" s="609" t="s">
        <v>4050</v>
      </c>
      <c r="Q10" s="582"/>
      <c r="R10" s="578" t="s">
        <v>1743</v>
      </c>
      <c r="S10" s="579"/>
      <c r="T10" s="579"/>
      <c r="U10" s="580"/>
      <c r="W10" s="572"/>
      <c r="X10" s="573"/>
      <c r="Y10" s="573"/>
      <c r="Z10" s="573"/>
      <c r="AA10" s="573"/>
      <c r="AB10" s="574"/>
    </row>
    <row r="11" spans="1:28" ht="12.75" customHeight="1">
      <c r="A11" s="731" t="s">
        <v>845</v>
      </c>
      <c r="B11" s="732"/>
      <c r="C11" s="732"/>
      <c r="D11" s="732"/>
      <c r="E11" s="733"/>
      <c r="F11" s="737">
        <v>25546</v>
      </c>
      <c r="G11" s="738"/>
      <c r="H11" s="738"/>
      <c r="I11" s="738"/>
      <c r="J11" s="738"/>
      <c r="K11" s="583"/>
      <c r="L11" s="584"/>
      <c r="M11" s="584"/>
      <c r="N11" s="584"/>
      <c r="O11" s="318"/>
      <c r="P11" s="609" t="s">
        <v>3972</v>
      </c>
      <c r="Q11" s="582"/>
      <c r="R11" s="578" t="s">
        <v>3664</v>
      </c>
      <c r="S11" s="579"/>
      <c r="T11" s="579"/>
      <c r="U11" s="580"/>
      <c r="W11" s="572"/>
      <c r="X11" s="573"/>
      <c r="Y11" s="573"/>
      <c r="Z11" s="573"/>
      <c r="AA11" s="573"/>
      <c r="AB11" s="574"/>
    </row>
    <row r="12" spans="1:28" ht="12.75">
      <c r="A12" s="563" t="s">
        <v>851</v>
      </c>
      <c r="B12" s="564"/>
      <c r="C12" s="564"/>
      <c r="D12" s="564"/>
      <c r="E12" s="565"/>
      <c r="F12" s="566" t="s">
        <v>1850</v>
      </c>
      <c r="G12" s="567"/>
      <c r="H12" s="567"/>
      <c r="I12" s="567"/>
      <c r="J12" s="567"/>
      <c r="K12" s="583"/>
      <c r="L12" s="584"/>
      <c r="M12" s="584"/>
      <c r="N12" s="584"/>
      <c r="O12" s="318"/>
      <c r="P12" s="609" t="s">
        <v>3973</v>
      </c>
      <c r="Q12" s="582"/>
      <c r="R12" s="578" t="s">
        <v>3665</v>
      </c>
      <c r="S12" s="579"/>
      <c r="T12" s="579"/>
      <c r="U12" s="580"/>
      <c r="W12" s="572"/>
      <c r="X12" s="573"/>
      <c r="Y12" s="573"/>
      <c r="Z12" s="573"/>
      <c r="AA12" s="573"/>
      <c r="AB12" s="574"/>
    </row>
    <row r="13" spans="1:28" ht="12.75">
      <c r="A13" s="693" t="s">
        <v>852</v>
      </c>
      <c r="B13" s="693"/>
      <c r="C13" s="693"/>
      <c r="D13" s="693"/>
      <c r="E13" s="693"/>
      <c r="F13" s="566" t="s">
        <v>1850</v>
      </c>
      <c r="G13" s="567"/>
      <c r="H13" s="567"/>
      <c r="I13" s="567"/>
      <c r="J13" s="567"/>
      <c r="K13" s="583"/>
      <c r="L13" s="584"/>
      <c r="M13" s="584"/>
      <c r="N13" s="584"/>
      <c r="O13" s="318"/>
      <c r="P13" s="609" t="s">
        <v>3974</v>
      </c>
      <c r="Q13" s="582"/>
      <c r="R13" s="578" t="s">
        <v>3661</v>
      </c>
      <c r="S13" s="579"/>
      <c r="T13" s="579"/>
      <c r="U13" s="580"/>
      <c r="W13" s="572" t="s">
        <v>365</v>
      </c>
      <c r="X13" s="573"/>
      <c r="Y13" s="573"/>
      <c r="Z13" s="573"/>
      <c r="AA13" s="573"/>
      <c r="AB13" s="574"/>
    </row>
    <row r="14" spans="1:28" ht="12.75" customHeight="1">
      <c r="A14" s="694" t="s">
        <v>855</v>
      </c>
      <c r="B14" s="695"/>
      <c r="C14" s="695"/>
      <c r="D14" s="695"/>
      <c r="E14" s="696"/>
      <c r="F14" s="566" t="s">
        <v>407</v>
      </c>
      <c r="G14" s="567"/>
      <c r="H14" s="567"/>
      <c r="I14" s="567"/>
      <c r="J14" s="567"/>
      <c r="K14" s="583"/>
      <c r="L14" s="584"/>
      <c r="M14" s="584"/>
      <c r="N14" s="584"/>
      <c r="O14" s="318"/>
      <c r="P14" s="609" t="s">
        <v>3975</v>
      </c>
      <c r="Q14" s="582"/>
      <c r="R14" s="578" t="s">
        <v>3662</v>
      </c>
      <c r="S14" s="579"/>
      <c r="T14" s="579"/>
      <c r="U14" s="580"/>
      <c r="W14" s="572"/>
      <c r="X14" s="573"/>
      <c r="Y14" s="573"/>
      <c r="Z14" s="573"/>
      <c r="AA14" s="573"/>
      <c r="AB14" s="574"/>
    </row>
    <row r="15" spans="1:28" ht="12.75">
      <c r="A15" s="563" t="s">
        <v>2612</v>
      </c>
      <c r="B15" s="564"/>
      <c r="C15" s="564"/>
      <c r="D15" s="564"/>
      <c r="E15" s="565"/>
      <c r="F15" s="566" t="s">
        <v>410</v>
      </c>
      <c r="G15" s="567"/>
      <c r="H15" s="567"/>
      <c r="I15" s="567"/>
      <c r="J15" s="567"/>
      <c r="K15" s="583"/>
      <c r="L15" s="584"/>
      <c r="M15" s="584"/>
      <c r="N15" s="584"/>
      <c r="O15" s="318"/>
      <c r="P15" s="609" t="s">
        <v>3976</v>
      </c>
      <c r="Q15" s="582"/>
      <c r="R15" s="578" t="s">
        <v>3647</v>
      </c>
      <c r="S15" s="579"/>
      <c r="T15" s="579"/>
      <c r="U15" s="580"/>
      <c r="W15" s="572"/>
      <c r="X15" s="573"/>
      <c r="Y15" s="573"/>
      <c r="Z15" s="573"/>
      <c r="AA15" s="573"/>
      <c r="AB15" s="574"/>
    </row>
    <row r="16" spans="1:28" s="258" customFormat="1" ht="12.75">
      <c r="A16" s="563" t="s">
        <v>2438</v>
      </c>
      <c r="B16" s="564"/>
      <c r="C16" s="564"/>
      <c r="D16" s="564"/>
      <c r="E16" s="565"/>
      <c r="F16" s="566" t="s">
        <v>408</v>
      </c>
      <c r="G16" s="567"/>
      <c r="H16" s="567"/>
      <c r="I16" s="567"/>
      <c r="J16" s="567"/>
      <c r="K16" s="583"/>
      <c r="L16" s="584"/>
      <c r="M16" s="584"/>
      <c r="N16" s="584"/>
      <c r="O16" s="318"/>
      <c r="P16" s="609" t="s">
        <v>3977</v>
      </c>
      <c r="Q16" s="582"/>
      <c r="R16" s="578" t="s">
        <v>3666</v>
      </c>
      <c r="S16" s="579"/>
      <c r="T16" s="579"/>
      <c r="U16" s="580"/>
      <c r="W16" s="575" t="s">
        <v>366</v>
      </c>
      <c r="X16" s="576"/>
      <c r="Y16" s="576"/>
      <c r="Z16" s="576"/>
      <c r="AA16" s="576"/>
      <c r="AB16" s="577"/>
    </row>
    <row r="17" spans="1:29" ht="12.75">
      <c r="A17" s="690" t="s">
        <v>2680</v>
      </c>
      <c r="B17" s="691"/>
      <c r="C17" s="691"/>
      <c r="D17" s="691"/>
      <c r="E17" s="692"/>
      <c r="F17" s="722" t="s">
        <v>409</v>
      </c>
      <c r="G17" s="723"/>
      <c r="H17" s="723"/>
      <c r="I17" s="723"/>
      <c r="J17" s="723"/>
      <c r="K17" s="583" t="s">
        <v>876</v>
      </c>
      <c r="L17" s="584"/>
      <c r="M17" s="584"/>
      <c r="N17" s="584"/>
      <c r="O17" s="318"/>
      <c r="P17" s="609" t="s">
        <v>3978</v>
      </c>
      <c r="Q17" s="582"/>
      <c r="R17" s="578" t="s">
        <v>3667</v>
      </c>
      <c r="S17" s="579"/>
      <c r="T17" s="579"/>
      <c r="U17" s="580"/>
      <c r="V17" s="258"/>
      <c r="W17" s="575" t="s">
        <v>367</v>
      </c>
      <c r="X17" s="576"/>
      <c r="Y17" s="576"/>
      <c r="Z17" s="576"/>
      <c r="AA17" s="576"/>
      <c r="AB17" s="577"/>
      <c r="AC17" s="252"/>
    </row>
    <row r="18" spans="1:29" ht="12.75">
      <c r="A18" s="262"/>
      <c r="B18" s="104"/>
      <c r="C18" s="263"/>
      <c r="D18" s="263"/>
      <c r="E18" s="264"/>
      <c r="F18" s="724"/>
      <c r="G18" s="725"/>
      <c r="H18" s="725"/>
      <c r="I18" s="725"/>
      <c r="J18" s="725"/>
      <c r="K18" s="583"/>
      <c r="L18" s="584"/>
      <c r="M18" s="584"/>
      <c r="N18" s="584"/>
      <c r="O18" s="318"/>
      <c r="P18" s="609" t="s">
        <v>4051</v>
      </c>
      <c r="Q18" s="582"/>
      <c r="R18" s="578" t="s">
        <v>3668</v>
      </c>
      <c r="S18" s="579"/>
      <c r="T18" s="579"/>
      <c r="U18" s="580"/>
      <c r="V18" s="258"/>
      <c r="W18" s="575" t="s">
        <v>368</v>
      </c>
      <c r="X18" s="576"/>
      <c r="Y18" s="576"/>
      <c r="Z18" s="576"/>
      <c r="AA18" s="576"/>
      <c r="AB18" s="577"/>
      <c r="AC18" s="252"/>
    </row>
    <row r="19" spans="1:29" ht="12.75">
      <c r="A19" s="563" t="s">
        <v>872</v>
      </c>
      <c r="B19" s="564"/>
      <c r="C19" s="564"/>
      <c r="D19" s="564"/>
      <c r="E19" s="565"/>
      <c r="F19" s="566" t="s">
        <v>351</v>
      </c>
      <c r="G19" s="567"/>
      <c r="H19" s="567"/>
      <c r="I19" s="567"/>
      <c r="J19" s="567"/>
      <c r="K19" s="583" t="s">
        <v>875</v>
      </c>
      <c r="L19" s="584"/>
      <c r="M19" s="584"/>
      <c r="N19" s="584"/>
      <c r="O19" s="318"/>
      <c r="P19" s="581" t="s">
        <v>1713</v>
      </c>
      <c r="Q19" s="582"/>
      <c r="R19" s="578" t="s">
        <v>1745</v>
      </c>
      <c r="S19" s="579"/>
      <c r="T19" s="579"/>
      <c r="U19" s="580"/>
      <c r="V19" s="258"/>
      <c r="W19" s="575" t="s">
        <v>369</v>
      </c>
      <c r="X19" s="576"/>
      <c r="Y19" s="576"/>
      <c r="Z19" s="576"/>
      <c r="AA19" s="576"/>
      <c r="AB19" s="577"/>
      <c r="AC19" s="252"/>
    </row>
    <row r="20" spans="1:29" ht="12.75">
      <c r="A20" s="563" t="s">
        <v>858</v>
      </c>
      <c r="B20" s="564"/>
      <c r="C20" s="564"/>
      <c r="D20" s="564"/>
      <c r="E20" s="565"/>
      <c r="F20" s="566" t="s">
        <v>411</v>
      </c>
      <c r="G20" s="567"/>
      <c r="H20" s="567"/>
      <c r="I20" s="567"/>
      <c r="J20" s="567"/>
      <c r="K20" s="583"/>
      <c r="L20" s="584"/>
      <c r="M20" s="584"/>
      <c r="N20" s="584"/>
      <c r="O20" s="318"/>
      <c r="P20" s="581" t="s">
        <v>1714</v>
      </c>
      <c r="Q20" s="582"/>
      <c r="R20" s="578" t="s">
        <v>1745</v>
      </c>
      <c r="S20" s="579"/>
      <c r="T20" s="579"/>
      <c r="U20" s="580"/>
      <c r="V20" s="258"/>
      <c r="W20" s="575" t="s">
        <v>370</v>
      </c>
      <c r="X20" s="576"/>
      <c r="Y20" s="576"/>
      <c r="Z20" s="576"/>
      <c r="AA20" s="576"/>
      <c r="AB20" s="577"/>
      <c r="AC20" s="252"/>
    </row>
    <row r="21" spans="1:29" ht="12.75">
      <c r="A21" s="563" t="s">
        <v>2684</v>
      </c>
      <c r="B21" s="564"/>
      <c r="C21" s="564"/>
      <c r="D21" s="564"/>
      <c r="E21" s="565"/>
      <c r="F21" s="566" t="s">
        <v>2685</v>
      </c>
      <c r="G21" s="567"/>
      <c r="H21" s="567"/>
      <c r="I21" s="567"/>
      <c r="J21" s="567"/>
      <c r="K21" s="583" t="s">
        <v>2685</v>
      </c>
      <c r="L21" s="584"/>
      <c r="M21" s="584"/>
      <c r="N21" s="584"/>
      <c r="O21" s="318" t="s">
        <v>2326</v>
      </c>
      <c r="P21" s="609" t="s">
        <v>4052</v>
      </c>
      <c r="Q21" s="582"/>
      <c r="R21" s="578" t="s">
        <v>3649</v>
      </c>
      <c r="S21" s="579"/>
      <c r="T21" s="579"/>
      <c r="U21" s="580"/>
      <c r="W21" s="572"/>
      <c r="X21" s="573"/>
      <c r="Y21" s="573"/>
      <c r="Z21" s="573"/>
      <c r="AA21" s="573"/>
      <c r="AB21" s="574"/>
      <c r="AC21" s="252"/>
    </row>
    <row r="22" spans="1:28" ht="12.75">
      <c r="A22" s="563" t="s">
        <v>2687</v>
      </c>
      <c r="B22" s="564"/>
      <c r="C22" s="564"/>
      <c r="D22" s="564"/>
      <c r="E22" s="565"/>
      <c r="F22" s="566" t="s">
        <v>2688</v>
      </c>
      <c r="G22" s="567"/>
      <c r="H22" s="567"/>
      <c r="I22" s="567"/>
      <c r="J22" s="567"/>
      <c r="K22" s="583" t="s">
        <v>866</v>
      </c>
      <c r="L22" s="584"/>
      <c r="M22" s="584"/>
      <c r="N22" s="584"/>
      <c r="O22" s="318"/>
      <c r="P22" s="581" t="s">
        <v>1717</v>
      </c>
      <c r="Q22" s="582"/>
      <c r="R22" s="578" t="s">
        <v>1718</v>
      </c>
      <c r="S22" s="579"/>
      <c r="T22" s="579"/>
      <c r="U22" s="580"/>
      <c r="W22" s="572" t="s">
        <v>360</v>
      </c>
      <c r="X22" s="573"/>
      <c r="Y22" s="573"/>
      <c r="Z22" s="573"/>
      <c r="AA22" s="573"/>
      <c r="AB22" s="574"/>
    </row>
    <row r="23" spans="1:28" ht="12.75" customHeight="1">
      <c r="A23" s="563" t="s">
        <v>1763</v>
      </c>
      <c r="B23" s="564"/>
      <c r="C23" s="564"/>
      <c r="D23" s="564"/>
      <c r="E23" s="565"/>
      <c r="F23" s="566" t="s">
        <v>1764</v>
      </c>
      <c r="G23" s="567"/>
      <c r="H23" s="567"/>
      <c r="I23" s="567"/>
      <c r="J23" s="567"/>
      <c r="K23" s="583" t="s">
        <v>1765</v>
      </c>
      <c r="L23" s="584"/>
      <c r="M23" s="584"/>
      <c r="N23" s="584"/>
      <c r="O23" s="318"/>
      <c r="P23" s="808" t="s">
        <v>4053</v>
      </c>
      <c r="Q23" s="627"/>
      <c r="R23" s="623" t="s">
        <v>417</v>
      </c>
      <c r="S23" s="624"/>
      <c r="T23" s="624"/>
      <c r="U23" s="625"/>
      <c r="W23" s="572"/>
      <c r="X23" s="573"/>
      <c r="Y23" s="573"/>
      <c r="Z23" s="573"/>
      <c r="AA23" s="573"/>
      <c r="AB23" s="574"/>
    </row>
    <row r="24" spans="1:28" ht="12.75" customHeight="1">
      <c r="A24" s="694" t="s">
        <v>853</v>
      </c>
      <c r="B24" s="695"/>
      <c r="C24" s="695"/>
      <c r="D24" s="695"/>
      <c r="E24" s="696"/>
      <c r="F24" s="568" t="s">
        <v>412</v>
      </c>
      <c r="G24" s="569"/>
      <c r="H24" s="569"/>
      <c r="I24" s="570"/>
      <c r="J24" s="571"/>
      <c r="K24" s="583" t="s">
        <v>89</v>
      </c>
      <c r="L24" s="584"/>
      <c r="M24" s="584"/>
      <c r="N24" s="584"/>
      <c r="O24" s="318"/>
      <c r="P24" s="641" t="s">
        <v>4054</v>
      </c>
      <c r="Q24" s="627"/>
      <c r="R24" s="623" t="s">
        <v>417</v>
      </c>
      <c r="S24" s="624"/>
      <c r="T24" s="624"/>
      <c r="U24" s="625"/>
      <c r="W24" s="572"/>
      <c r="X24" s="573"/>
      <c r="Y24" s="573"/>
      <c r="Z24" s="573"/>
      <c r="AA24" s="573"/>
      <c r="AB24" s="574"/>
    </row>
    <row r="25" spans="1:28" ht="12.75" customHeight="1">
      <c r="A25" s="563" t="s">
        <v>1660</v>
      </c>
      <c r="B25" s="564"/>
      <c r="C25" s="564"/>
      <c r="D25" s="564"/>
      <c r="E25" s="565"/>
      <c r="F25" s="568">
        <v>30</v>
      </c>
      <c r="G25" s="569"/>
      <c r="H25" s="569"/>
      <c r="I25" s="313" t="s">
        <v>363</v>
      </c>
      <c r="J25" s="229" t="s">
        <v>413</v>
      </c>
      <c r="K25" s="583" t="s">
        <v>3248</v>
      </c>
      <c r="L25" s="584"/>
      <c r="M25" s="584"/>
      <c r="N25" s="584"/>
      <c r="O25" s="318" t="s">
        <v>2326</v>
      </c>
      <c r="P25" s="581" t="s">
        <v>3648</v>
      </c>
      <c r="Q25" s="582"/>
      <c r="R25" s="578" t="s">
        <v>3650</v>
      </c>
      <c r="S25" s="579"/>
      <c r="T25" s="579"/>
      <c r="U25" s="580"/>
      <c r="W25" s="572"/>
      <c r="X25" s="573"/>
      <c r="Y25" s="573"/>
      <c r="Z25" s="573"/>
      <c r="AA25" s="573"/>
      <c r="AB25" s="574"/>
    </row>
    <row r="26" spans="1:28" ht="12.75" customHeight="1">
      <c r="A26" s="563" t="s">
        <v>848</v>
      </c>
      <c r="B26" s="564"/>
      <c r="C26" s="564"/>
      <c r="D26" s="564"/>
      <c r="E26" s="565"/>
      <c r="F26" s="568">
        <v>3</v>
      </c>
      <c r="G26" s="569"/>
      <c r="H26" s="569"/>
      <c r="I26" s="570"/>
      <c r="J26" s="571"/>
      <c r="O26" s="318"/>
      <c r="P26" s="626" t="s">
        <v>4222</v>
      </c>
      <c r="Q26" s="627"/>
      <c r="R26" s="623" t="s">
        <v>4224</v>
      </c>
      <c r="S26" s="624"/>
      <c r="T26" s="624"/>
      <c r="U26" s="625"/>
      <c r="W26" s="572"/>
      <c r="X26" s="573"/>
      <c r="Y26" s="573"/>
      <c r="Z26" s="573"/>
      <c r="AA26" s="573"/>
      <c r="AB26" s="574"/>
    </row>
    <row r="27" spans="1:28" ht="12.75" customHeight="1">
      <c r="A27" s="563" t="s">
        <v>861</v>
      </c>
      <c r="B27" s="564"/>
      <c r="C27" s="564"/>
      <c r="D27" s="564"/>
      <c r="E27" s="565"/>
      <c r="F27" s="568">
        <v>4</v>
      </c>
      <c r="G27" s="569"/>
      <c r="H27" s="569"/>
      <c r="I27" s="570"/>
      <c r="J27" s="571"/>
      <c r="K27" s="583" t="s">
        <v>880</v>
      </c>
      <c r="L27" s="584"/>
      <c r="M27" s="584"/>
      <c r="N27" s="584"/>
      <c r="O27" s="318"/>
      <c r="P27" s="626" t="s">
        <v>4223</v>
      </c>
      <c r="Q27" s="627"/>
      <c r="R27" s="623" t="s">
        <v>4225</v>
      </c>
      <c r="S27" s="624"/>
      <c r="T27" s="624"/>
      <c r="U27" s="625"/>
      <c r="W27" s="572"/>
      <c r="X27" s="573"/>
      <c r="Y27" s="573"/>
      <c r="Z27" s="573"/>
      <c r="AA27" s="573"/>
      <c r="AB27" s="574"/>
    </row>
    <row r="28" spans="1:28" ht="12.75" customHeight="1">
      <c r="A28" s="563" t="s">
        <v>856</v>
      </c>
      <c r="B28" s="564"/>
      <c r="C28" s="564"/>
      <c r="D28" s="564"/>
      <c r="E28" s="565"/>
      <c r="F28" s="568">
        <v>153.464</v>
      </c>
      <c r="G28" s="569"/>
      <c r="H28" s="569"/>
      <c r="I28" s="570" t="s">
        <v>2432</v>
      </c>
      <c r="J28" s="571"/>
      <c r="K28" s="583"/>
      <c r="L28" s="584"/>
      <c r="M28" s="584"/>
      <c r="N28" s="584"/>
      <c r="O28" s="318" t="s">
        <v>2326</v>
      </c>
      <c r="P28" s="628" t="s">
        <v>4055</v>
      </c>
      <c r="Q28" s="582"/>
      <c r="R28" s="578" t="s">
        <v>3659</v>
      </c>
      <c r="S28" s="579"/>
      <c r="T28" s="579"/>
      <c r="U28" s="580"/>
      <c r="W28" s="572" t="s">
        <v>2714</v>
      </c>
      <c r="X28" s="573"/>
      <c r="Y28" s="573"/>
      <c r="Z28" s="573"/>
      <c r="AA28" s="573"/>
      <c r="AB28" s="574"/>
    </row>
    <row r="29" spans="1:28" ht="12.75" customHeight="1">
      <c r="A29" s="563" t="s">
        <v>857</v>
      </c>
      <c r="B29" s="564"/>
      <c r="C29" s="564"/>
      <c r="D29" s="564"/>
      <c r="E29" s="565"/>
      <c r="F29" s="568">
        <v>53</v>
      </c>
      <c r="G29" s="569"/>
      <c r="H29" s="569"/>
      <c r="I29" s="570" t="s">
        <v>2432</v>
      </c>
      <c r="J29" s="571"/>
      <c r="K29" s="632" t="s">
        <v>1767</v>
      </c>
      <c r="L29" s="633"/>
      <c r="M29" s="633"/>
      <c r="N29" s="634"/>
      <c r="O29" s="318"/>
      <c r="P29" s="581" t="s">
        <v>1719</v>
      </c>
      <c r="Q29" s="582"/>
      <c r="R29" s="578" t="s">
        <v>3663</v>
      </c>
      <c r="S29" s="579"/>
      <c r="T29" s="579"/>
      <c r="U29" s="580"/>
      <c r="W29" s="572"/>
      <c r="X29" s="573"/>
      <c r="Y29" s="573"/>
      <c r="Z29" s="573"/>
      <c r="AA29" s="573"/>
      <c r="AB29" s="574"/>
    </row>
    <row r="30" spans="1:28" ht="12.75">
      <c r="A30" s="563" t="s">
        <v>2686</v>
      </c>
      <c r="B30" s="564"/>
      <c r="C30" s="564"/>
      <c r="D30" s="564"/>
      <c r="E30" s="565"/>
      <c r="F30" s="568">
        <v>58</v>
      </c>
      <c r="G30" s="569"/>
      <c r="H30" s="569"/>
      <c r="I30" s="570" t="s">
        <v>2432</v>
      </c>
      <c r="J30" s="571"/>
      <c r="K30" s="583" t="s">
        <v>874</v>
      </c>
      <c r="L30" s="584"/>
      <c r="M30" s="584"/>
      <c r="N30" s="584"/>
      <c r="O30" s="318"/>
      <c r="P30" s="609" t="s">
        <v>4056</v>
      </c>
      <c r="Q30" s="582"/>
      <c r="R30" s="578" t="s">
        <v>1744</v>
      </c>
      <c r="S30" s="579"/>
      <c r="T30" s="579"/>
      <c r="U30" s="580"/>
      <c r="W30" s="572"/>
      <c r="X30" s="573"/>
      <c r="Y30" s="573"/>
      <c r="Z30" s="573"/>
      <c r="AA30" s="573"/>
      <c r="AB30" s="574"/>
    </row>
    <row r="31" spans="1:28" ht="12.75">
      <c r="A31" s="563" t="s">
        <v>859</v>
      </c>
      <c r="B31" s="564"/>
      <c r="C31" s="564"/>
      <c r="D31" s="564"/>
      <c r="E31" s="565"/>
      <c r="F31" s="568">
        <v>50</v>
      </c>
      <c r="G31" s="569"/>
      <c r="H31" s="569"/>
      <c r="I31" s="570" t="s">
        <v>2432</v>
      </c>
      <c r="J31" s="571"/>
      <c r="K31" s="583"/>
      <c r="L31" s="584"/>
      <c r="M31" s="584"/>
      <c r="N31" s="584"/>
      <c r="O31" s="318" t="s">
        <v>2326</v>
      </c>
      <c r="P31" s="609" t="s">
        <v>5762</v>
      </c>
      <c r="Q31" s="582"/>
      <c r="R31" s="578" t="s">
        <v>3651</v>
      </c>
      <c r="S31" s="579"/>
      <c r="T31" s="579"/>
      <c r="U31" s="580"/>
      <c r="W31" s="572" t="s">
        <v>371</v>
      </c>
      <c r="X31" s="573"/>
      <c r="Y31" s="573"/>
      <c r="Z31" s="573"/>
      <c r="AA31" s="573"/>
      <c r="AB31" s="574"/>
    </row>
    <row r="32" spans="1:28" ht="12.75">
      <c r="A32" s="563" t="s">
        <v>877</v>
      </c>
      <c r="B32" s="564"/>
      <c r="C32" s="564"/>
      <c r="D32" s="564"/>
      <c r="E32" s="565"/>
      <c r="F32" s="568">
        <v>8</v>
      </c>
      <c r="G32" s="569"/>
      <c r="H32" s="569"/>
      <c r="I32" s="570" t="s">
        <v>879</v>
      </c>
      <c r="J32" s="571"/>
      <c r="K32" s="583"/>
      <c r="L32" s="584"/>
      <c r="M32" s="584"/>
      <c r="N32" s="584"/>
      <c r="O32" s="318"/>
      <c r="P32" s="581" t="s">
        <v>1720</v>
      </c>
      <c r="Q32" s="582"/>
      <c r="R32" s="578" t="s">
        <v>1722</v>
      </c>
      <c r="S32" s="579"/>
      <c r="T32" s="579"/>
      <c r="U32" s="580"/>
      <c r="W32" s="572"/>
      <c r="X32" s="573"/>
      <c r="Y32" s="573"/>
      <c r="Z32" s="573"/>
      <c r="AA32" s="573"/>
      <c r="AB32" s="574"/>
    </row>
    <row r="33" spans="1:28" ht="12.75">
      <c r="A33" s="563" t="s">
        <v>878</v>
      </c>
      <c r="B33" s="564"/>
      <c r="C33" s="564"/>
      <c r="D33" s="564"/>
      <c r="E33" s="565"/>
      <c r="F33" s="568">
        <v>2.5</v>
      </c>
      <c r="G33" s="569"/>
      <c r="H33" s="569"/>
      <c r="I33" s="570" t="s">
        <v>879</v>
      </c>
      <c r="J33" s="571"/>
      <c r="K33" s="583"/>
      <c r="L33" s="584"/>
      <c r="M33" s="584"/>
      <c r="N33" s="584"/>
      <c r="O33" s="318"/>
      <c r="P33" s="581" t="s">
        <v>1721</v>
      </c>
      <c r="Q33" s="582"/>
      <c r="R33" s="578" t="s">
        <v>1723</v>
      </c>
      <c r="S33" s="579"/>
      <c r="T33" s="579"/>
      <c r="U33" s="580"/>
      <c r="W33" s="572"/>
      <c r="X33" s="573"/>
      <c r="Y33" s="573"/>
      <c r="Z33" s="573"/>
      <c r="AA33" s="573"/>
      <c r="AB33" s="574"/>
    </row>
    <row r="34" spans="1:28" ht="12.75" customHeight="1">
      <c r="A34" s="563" t="s">
        <v>867</v>
      </c>
      <c r="B34" s="564"/>
      <c r="C34" s="564"/>
      <c r="D34" s="564"/>
      <c r="E34" s="565"/>
      <c r="F34" s="568">
        <v>23</v>
      </c>
      <c r="G34" s="569"/>
      <c r="H34" s="569"/>
      <c r="I34" s="570"/>
      <c r="J34" s="571"/>
      <c r="L34" s="260"/>
      <c r="M34" s="260"/>
      <c r="N34" s="260"/>
      <c r="O34" s="318"/>
      <c r="P34" s="609" t="s">
        <v>3979</v>
      </c>
      <c r="Q34" s="582"/>
      <c r="R34" s="578" t="s">
        <v>3660</v>
      </c>
      <c r="S34" s="579"/>
      <c r="T34" s="579"/>
      <c r="U34" s="580"/>
      <c r="W34" s="572"/>
      <c r="X34" s="573"/>
      <c r="Y34" s="573"/>
      <c r="Z34" s="573"/>
      <c r="AA34" s="573"/>
      <c r="AB34" s="574"/>
    </row>
    <row r="35" spans="1:28" ht="12.75">
      <c r="A35" s="697" t="s">
        <v>860</v>
      </c>
      <c r="B35" s="698"/>
      <c r="C35" s="698"/>
      <c r="D35" s="698"/>
      <c r="E35" s="699"/>
      <c r="F35" s="703" t="s">
        <v>414</v>
      </c>
      <c r="G35" s="704"/>
      <c r="H35" s="704"/>
      <c r="I35" s="704"/>
      <c r="J35" s="705"/>
      <c r="K35" s="635" t="s">
        <v>1768</v>
      </c>
      <c r="L35" s="636"/>
      <c r="M35" s="636"/>
      <c r="N35" s="637"/>
      <c r="O35" s="318" t="s">
        <v>2326</v>
      </c>
      <c r="P35" s="609" t="s">
        <v>3980</v>
      </c>
      <c r="Q35" s="582"/>
      <c r="R35" s="578" t="s">
        <v>1724</v>
      </c>
      <c r="S35" s="579"/>
      <c r="T35" s="579"/>
      <c r="U35" s="580"/>
      <c r="W35" s="572"/>
      <c r="X35" s="573"/>
      <c r="Y35" s="573"/>
      <c r="Z35" s="573"/>
      <c r="AA35" s="573"/>
      <c r="AB35" s="574"/>
    </row>
    <row r="36" spans="1:28" ht="12.75">
      <c r="A36" s="697"/>
      <c r="B36" s="698"/>
      <c r="C36" s="698"/>
      <c r="D36" s="698"/>
      <c r="E36" s="699"/>
      <c r="F36" s="703"/>
      <c r="G36" s="704"/>
      <c r="H36" s="704"/>
      <c r="I36" s="704"/>
      <c r="J36" s="705"/>
      <c r="K36" s="635"/>
      <c r="L36" s="636"/>
      <c r="M36" s="636"/>
      <c r="N36" s="637"/>
      <c r="O36" s="318"/>
      <c r="P36" s="609" t="s">
        <v>3981</v>
      </c>
      <c r="Q36" s="582"/>
      <c r="R36" s="578" t="s">
        <v>3656</v>
      </c>
      <c r="S36" s="579"/>
      <c r="T36" s="579"/>
      <c r="U36" s="580"/>
      <c r="W36" s="572" t="s">
        <v>361</v>
      </c>
      <c r="X36" s="573"/>
      <c r="Y36" s="573"/>
      <c r="Z36" s="573"/>
      <c r="AA36" s="573"/>
      <c r="AB36" s="574"/>
    </row>
    <row r="37" spans="1:28" ht="12.75">
      <c r="A37" s="700"/>
      <c r="B37" s="701"/>
      <c r="C37" s="701"/>
      <c r="D37" s="701"/>
      <c r="E37" s="702"/>
      <c r="F37" s="706"/>
      <c r="G37" s="707"/>
      <c r="H37" s="707"/>
      <c r="I37" s="707"/>
      <c r="J37" s="708"/>
      <c r="K37" s="638"/>
      <c r="L37" s="639"/>
      <c r="M37" s="639"/>
      <c r="N37" s="640"/>
      <c r="O37" s="318"/>
      <c r="P37" s="644" t="s">
        <v>4057</v>
      </c>
      <c r="Q37" s="645"/>
      <c r="R37" s="642" t="s">
        <v>3654</v>
      </c>
      <c r="S37" s="642"/>
      <c r="T37" s="642"/>
      <c r="U37" s="643"/>
      <c r="W37" s="572"/>
      <c r="X37" s="573"/>
      <c r="Y37" s="573"/>
      <c r="Z37" s="573"/>
      <c r="AA37" s="573"/>
      <c r="AB37" s="574"/>
    </row>
    <row r="38" spans="1:28" ht="12.75" customHeight="1">
      <c r="A38" s="709" t="s">
        <v>873</v>
      </c>
      <c r="B38" s="710"/>
      <c r="C38" s="710"/>
      <c r="D38" s="710"/>
      <c r="E38" s="711"/>
      <c r="F38" s="664" t="s">
        <v>415</v>
      </c>
      <c r="G38" s="665"/>
      <c r="H38" s="665"/>
      <c r="I38" s="665"/>
      <c r="J38" s="665"/>
      <c r="K38" s="717" t="s">
        <v>876</v>
      </c>
      <c r="L38" s="718"/>
      <c r="M38" s="718"/>
      <c r="N38" s="718"/>
      <c r="O38" s="318"/>
      <c r="P38" s="644" t="s">
        <v>4058</v>
      </c>
      <c r="Q38" s="645"/>
      <c r="R38" s="642" t="s">
        <v>3655</v>
      </c>
      <c r="S38" s="642"/>
      <c r="T38" s="642"/>
      <c r="U38" s="643"/>
      <c r="W38" s="572"/>
      <c r="X38" s="573"/>
      <c r="Y38" s="573"/>
      <c r="Z38" s="573"/>
      <c r="AA38" s="573"/>
      <c r="AB38" s="574"/>
    </row>
    <row r="39" spans="1:28" ht="12.75" customHeight="1">
      <c r="A39" s="563" t="s">
        <v>862</v>
      </c>
      <c r="B39" s="564"/>
      <c r="C39" s="564"/>
      <c r="D39" s="564"/>
      <c r="E39" s="565"/>
      <c r="F39" s="728">
        <v>8400</v>
      </c>
      <c r="G39" s="729"/>
      <c r="H39" s="729"/>
      <c r="I39" s="662"/>
      <c r="J39" s="663"/>
      <c r="K39" s="613"/>
      <c r="L39" s="614"/>
      <c r="M39" s="614"/>
      <c r="N39" s="614"/>
      <c r="O39" s="318"/>
      <c r="P39" s="644" t="s">
        <v>4059</v>
      </c>
      <c r="Q39" s="645"/>
      <c r="R39" s="642" t="s">
        <v>1746</v>
      </c>
      <c r="S39" s="642"/>
      <c r="T39" s="642"/>
      <c r="U39" s="643"/>
      <c r="W39" s="572"/>
      <c r="X39" s="573"/>
      <c r="Y39" s="573"/>
      <c r="Z39" s="573"/>
      <c r="AA39" s="573"/>
      <c r="AB39" s="574"/>
    </row>
    <row r="40" spans="1:29" ht="12.75">
      <c r="A40" s="563" t="s">
        <v>863</v>
      </c>
      <c r="B40" s="564"/>
      <c r="C40" s="564"/>
      <c r="D40" s="564"/>
      <c r="E40" s="565"/>
      <c r="F40" s="726">
        <v>2005</v>
      </c>
      <c r="G40" s="727"/>
      <c r="H40" s="727"/>
      <c r="I40" s="662"/>
      <c r="J40" s="663"/>
      <c r="K40" s="613"/>
      <c r="L40" s="614"/>
      <c r="M40" s="614"/>
      <c r="N40" s="614"/>
      <c r="O40" s="318"/>
      <c r="P40" s="644" t="s">
        <v>4060</v>
      </c>
      <c r="Q40" s="645"/>
      <c r="R40" s="642" t="s">
        <v>1746</v>
      </c>
      <c r="S40" s="642"/>
      <c r="T40" s="642"/>
      <c r="U40" s="643"/>
      <c r="W40" s="572"/>
      <c r="X40" s="573"/>
      <c r="Y40" s="573"/>
      <c r="Z40" s="573"/>
      <c r="AA40" s="573"/>
      <c r="AB40" s="574"/>
      <c r="AC40" s="252"/>
    </row>
    <row r="41" spans="1:29" ht="12.75">
      <c r="A41" s="563" t="s">
        <v>864</v>
      </c>
      <c r="B41" s="564"/>
      <c r="C41" s="564"/>
      <c r="D41" s="564"/>
      <c r="E41" s="565"/>
      <c r="F41" s="728">
        <v>12900</v>
      </c>
      <c r="G41" s="729"/>
      <c r="H41" s="729"/>
      <c r="I41" s="662"/>
      <c r="J41" s="663"/>
      <c r="K41" s="613"/>
      <c r="L41" s="614"/>
      <c r="M41" s="614"/>
      <c r="N41" s="614"/>
      <c r="O41" s="318" t="s">
        <v>2326</v>
      </c>
      <c r="P41" s="653" t="s">
        <v>4061</v>
      </c>
      <c r="Q41" s="654"/>
      <c r="R41" s="655" t="s">
        <v>2804</v>
      </c>
      <c r="S41" s="655"/>
      <c r="T41" s="655"/>
      <c r="U41" s="656"/>
      <c r="W41" s="572" t="s">
        <v>372</v>
      </c>
      <c r="X41" s="573"/>
      <c r="Y41" s="573"/>
      <c r="Z41" s="573"/>
      <c r="AA41" s="573"/>
      <c r="AB41" s="574"/>
      <c r="AC41" s="252"/>
    </row>
    <row r="42" spans="1:29" ht="13.5" thickBot="1">
      <c r="A42" s="719" t="s">
        <v>865</v>
      </c>
      <c r="B42" s="720"/>
      <c r="C42" s="720"/>
      <c r="D42" s="720"/>
      <c r="E42" s="721"/>
      <c r="F42" s="742">
        <v>2025</v>
      </c>
      <c r="G42" s="743"/>
      <c r="H42" s="743"/>
      <c r="I42" s="660"/>
      <c r="J42" s="661"/>
      <c r="K42" s="616"/>
      <c r="L42" s="617"/>
      <c r="M42" s="617"/>
      <c r="N42" s="617"/>
      <c r="O42" s="319" t="s">
        <v>2326</v>
      </c>
      <c r="P42" s="813" t="s">
        <v>4062</v>
      </c>
      <c r="Q42" s="814"/>
      <c r="R42" s="815" t="s">
        <v>416</v>
      </c>
      <c r="S42" s="815"/>
      <c r="T42" s="815"/>
      <c r="U42" s="816"/>
      <c r="W42" s="572"/>
      <c r="X42" s="573"/>
      <c r="Y42" s="573"/>
      <c r="Z42" s="573"/>
      <c r="AA42" s="573"/>
      <c r="AB42" s="574"/>
      <c r="AC42" s="252"/>
    </row>
    <row r="43" spans="1:28" ht="13.5" thickBot="1">
      <c r="A43" s="256"/>
      <c r="B43" s="256"/>
      <c r="C43" s="256"/>
      <c r="D43" s="256"/>
      <c r="E43" s="256"/>
      <c r="F43" s="253"/>
      <c r="G43" s="253"/>
      <c r="H43" s="253"/>
      <c r="I43" s="254"/>
      <c r="J43" s="254"/>
      <c r="K43" s="257"/>
      <c r="L43" s="257"/>
      <c r="M43" s="257"/>
      <c r="N43" s="257"/>
      <c r="T43" s="265"/>
      <c r="U43" s="260"/>
      <c r="W43" s="629"/>
      <c r="X43" s="630"/>
      <c r="Y43" s="630"/>
      <c r="Z43" s="630"/>
      <c r="AA43" s="630"/>
      <c r="AB43" s="631"/>
    </row>
    <row r="44" spans="1:21" ht="12.75" customHeight="1" thickBot="1" thickTop="1">
      <c r="A44" s="649" t="s">
        <v>881</v>
      </c>
      <c r="B44" s="650"/>
      <c r="C44" s="650"/>
      <c r="D44" s="650"/>
      <c r="E44" s="650"/>
      <c r="F44" s="650"/>
      <c r="G44" s="650"/>
      <c r="H44" s="650"/>
      <c r="I44" s="650"/>
      <c r="J44" s="650"/>
      <c r="K44" s="650"/>
      <c r="L44" s="650"/>
      <c r="M44" s="651"/>
      <c r="O44" s="649" t="s">
        <v>2307</v>
      </c>
      <c r="P44" s="650"/>
      <c r="Q44" s="650"/>
      <c r="R44" s="650"/>
      <c r="S44" s="650"/>
      <c r="T44" s="650"/>
      <c r="U44" s="651"/>
    </row>
    <row r="45" spans="2:21" ht="13.5" customHeight="1" thickBot="1">
      <c r="B45" s="217"/>
      <c r="I45" s="255"/>
      <c r="L45" s="8"/>
      <c r="O45" s="666" t="s">
        <v>3321</v>
      </c>
      <c r="P45" s="667"/>
      <c r="Q45" s="667"/>
      <c r="R45" s="667"/>
      <c r="S45" s="667"/>
      <c r="T45" s="667"/>
      <c r="U45" s="668"/>
    </row>
    <row r="46" spans="1:21" ht="12.75" customHeight="1">
      <c r="A46" s="266"/>
      <c r="B46" s="266"/>
      <c r="C46" s="266"/>
      <c r="E46" s="673" t="s">
        <v>870</v>
      </c>
      <c r="F46" s="712"/>
      <c r="G46" s="712"/>
      <c r="H46" s="713"/>
      <c r="L46" s="54"/>
      <c r="O46" s="646"/>
      <c r="P46" s="647"/>
      <c r="Q46" s="647"/>
      <c r="R46" s="647"/>
      <c r="S46" s="647"/>
      <c r="T46" s="647"/>
      <c r="U46" s="648"/>
    </row>
    <row r="47" spans="1:21" ht="13.5" thickBot="1">
      <c r="A47" s="266"/>
      <c r="B47" s="266"/>
      <c r="C47" s="266"/>
      <c r="E47" s="714"/>
      <c r="F47" s="715"/>
      <c r="G47" s="715"/>
      <c r="H47" s="716"/>
      <c r="L47" s="55"/>
      <c r="O47" s="646"/>
      <c r="P47" s="647"/>
      <c r="Q47" s="647"/>
      <c r="R47" s="647"/>
      <c r="S47" s="647"/>
      <c r="T47" s="647"/>
      <c r="U47" s="648"/>
    </row>
    <row r="48" spans="1:21" ht="12.75">
      <c r="A48" s="266"/>
      <c r="B48" s="266"/>
      <c r="C48" s="266"/>
      <c r="E48" s="267"/>
      <c r="F48" s="268" t="s">
        <v>868</v>
      </c>
      <c r="G48" s="671" t="s">
        <v>2646</v>
      </c>
      <c r="H48" s="672"/>
      <c r="L48" s="255"/>
      <c r="O48" s="646"/>
      <c r="P48" s="647"/>
      <c r="Q48" s="647"/>
      <c r="R48" s="647"/>
      <c r="S48" s="647"/>
      <c r="T48" s="647"/>
      <c r="U48" s="648"/>
    </row>
    <row r="49" spans="1:21" ht="12.75" customHeight="1">
      <c r="A49" s="266"/>
      <c r="B49" s="266"/>
      <c r="C49" s="266"/>
      <c r="E49" s="269" t="s">
        <v>2320</v>
      </c>
      <c r="F49" s="63" t="s">
        <v>352</v>
      </c>
      <c r="G49" s="9">
        <v>4</v>
      </c>
      <c r="H49" s="64" t="s">
        <v>364</v>
      </c>
      <c r="L49" s="57"/>
      <c r="O49" s="646"/>
      <c r="P49" s="647"/>
      <c r="Q49" s="647"/>
      <c r="R49" s="647"/>
      <c r="S49" s="647"/>
      <c r="T49" s="647"/>
      <c r="U49" s="648"/>
    </row>
    <row r="50" spans="1:21" ht="13.5" thickBot="1">
      <c r="A50" s="266"/>
      <c r="B50" s="266"/>
      <c r="C50" s="266"/>
      <c r="E50" s="270" t="s">
        <v>2321</v>
      </c>
      <c r="F50" s="65" t="s">
        <v>352</v>
      </c>
      <c r="G50" s="66">
        <v>4</v>
      </c>
      <c r="H50" s="67" t="s">
        <v>364</v>
      </c>
      <c r="L50" s="57"/>
      <c r="O50" s="646"/>
      <c r="P50" s="647"/>
      <c r="Q50" s="647"/>
      <c r="R50" s="647"/>
      <c r="S50" s="647"/>
      <c r="T50" s="647"/>
      <c r="U50" s="648"/>
    </row>
    <row r="51" spans="1:21" ht="14.25" thickBot="1" thickTop="1">
      <c r="A51" s="266"/>
      <c r="B51" s="266"/>
      <c r="C51" s="266"/>
      <c r="D51" s="266"/>
      <c r="E51" s="266"/>
      <c r="F51" s="266"/>
      <c r="L51" s="271"/>
      <c r="O51" s="646"/>
      <c r="P51" s="647"/>
      <c r="Q51" s="647"/>
      <c r="R51" s="647"/>
      <c r="S51" s="647"/>
      <c r="T51" s="647"/>
      <c r="U51" s="648"/>
    </row>
    <row r="52" spans="1:21" ht="13.5" customHeight="1">
      <c r="A52" s="669" t="s">
        <v>377</v>
      </c>
      <c r="B52" s="673" t="s">
        <v>871</v>
      </c>
      <c r="C52" s="674"/>
      <c r="D52" s="673" t="s">
        <v>869</v>
      </c>
      <c r="E52" s="677"/>
      <c r="F52" s="674"/>
      <c r="G52" s="6"/>
      <c r="H52" s="740" t="s">
        <v>377</v>
      </c>
      <c r="I52" s="610" t="s">
        <v>871</v>
      </c>
      <c r="J52" s="658"/>
      <c r="K52" s="610" t="s">
        <v>869</v>
      </c>
      <c r="L52" s="657"/>
      <c r="M52" s="658"/>
      <c r="N52" s="271"/>
      <c r="O52" s="646"/>
      <c r="P52" s="647"/>
      <c r="Q52" s="647"/>
      <c r="R52" s="647"/>
      <c r="S52" s="647"/>
      <c r="T52" s="647"/>
      <c r="U52" s="648"/>
    </row>
    <row r="53" spans="1:21" ht="13.5" thickBot="1">
      <c r="A53" s="670"/>
      <c r="B53" s="675"/>
      <c r="C53" s="676"/>
      <c r="D53" s="675"/>
      <c r="E53" s="678"/>
      <c r="F53" s="676"/>
      <c r="H53" s="741"/>
      <c r="I53" s="619"/>
      <c r="J53" s="620"/>
      <c r="K53" s="619"/>
      <c r="L53" s="659"/>
      <c r="M53" s="620"/>
      <c r="O53" s="646"/>
      <c r="P53" s="647"/>
      <c r="Q53" s="647"/>
      <c r="R53" s="647"/>
      <c r="S53" s="647"/>
      <c r="T53" s="647"/>
      <c r="U53" s="648"/>
    </row>
    <row r="54" spans="1:21" ht="12.75">
      <c r="A54" s="739">
        <v>1</v>
      </c>
      <c r="B54" s="689">
        <v>50</v>
      </c>
      <c r="C54" s="761" t="s">
        <v>364</v>
      </c>
      <c r="D54" s="272" t="s">
        <v>868</v>
      </c>
      <c r="E54" s="682" t="s">
        <v>2646</v>
      </c>
      <c r="F54" s="683"/>
      <c r="H54" s="688">
        <v>16</v>
      </c>
      <c r="I54" s="680"/>
      <c r="J54" s="679"/>
      <c r="K54" s="272" t="s">
        <v>868</v>
      </c>
      <c r="L54" s="682" t="s">
        <v>2646</v>
      </c>
      <c r="M54" s="683"/>
      <c r="O54" s="646"/>
      <c r="P54" s="647"/>
      <c r="Q54" s="647"/>
      <c r="R54" s="647"/>
      <c r="S54" s="647"/>
      <c r="T54" s="647"/>
      <c r="U54" s="648"/>
    </row>
    <row r="55" spans="1:21" ht="12.75">
      <c r="A55" s="686"/>
      <c r="B55" s="680"/>
      <c r="C55" s="679"/>
      <c r="D55" s="681" t="s">
        <v>418</v>
      </c>
      <c r="E55" s="680">
        <v>25.495</v>
      </c>
      <c r="F55" s="679" t="s">
        <v>364</v>
      </c>
      <c r="H55" s="685"/>
      <c r="I55" s="680"/>
      <c r="J55" s="679"/>
      <c r="K55" s="681"/>
      <c r="L55" s="680"/>
      <c r="M55" s="679"/>
      <c r="O55" s="646"/>
      <c r="P55" s="647"/>
      <c r="Q55" s="647"/>
      <c r="R55" s="647"/>
      <c r="S55" s="647"/>
      <c r="T55" s="647"/>
      <c r="U55" s="648"/>
    </row>
    <row r="56" spans="1:21" ht="12.75">
      <c r="A56" s="686">
        <v>2</v>
      </c>
      <c r="B56" s="680">
        <v>50</v>
      </c>
      <c r="C56" s="679" t="s">
        <v>364</v>
      </c>
      <c r="D56" s="681"/>
      <c r="E56" s="680"/>
      <c r="F56" s="679"/>
      <c r="H56" s="685">
        <v>17</v>
      </c>
      <c r="I56" s="680"/>
      <c r="J56" s="679"/>
      <c r="K56" s="681"/>
      <c r="L56" s="680"/>
      <c r="M56" s="679"/>
      <c r="O56" s="646"/>
      <c r="P56" s="647"/>
      <c r="Q56" s="647"/>
      <c r="R56" s="647"/>
      <c r="S56" s="647"/>
      <c r="T56" s="647"/>
      <c r="U56" s="648"/>
    </row>
    <row r="57" spans="1:21" ht="12.75">
      <c r="A57" s="686"/>
      <c r="B57" s="680"/>
      <c r="C57" s="679"/>
      <c r="D57" s="681" t="s">
        <v>418</v>
      </c>
      <c r="E57" s="680">
        <v>22.371</v>
      </c>
      <c r="F57" s="679" t="s">
        <v>364</v>
      </c>
      <c r="H57" s="685"/>
      <c r="I57" s="680"/>
      <c r="J57" s="679"/>
      <c r="K57" s="681"/>
      <c r="L57" s="680"/>
      <c r="M57" s="679"/>
      <c r="O57" s="646"/>
      <c r="P57" s="647"/>
      <c r="Q57" s="647"/>
      <c r="R57" s="647"/>
      <c r="S57" s="647"/>
      <c r="T57" s="647"/>
      <c r="U57" s="648"/>
    </row>
    <row r="58" spans="1:21" ht="12.75">
      <c r="A58" s="686">
        <v>3</v>
      </c>
      <c r="B58" s="680">
        <v>50</v>
      </c>
      <c r="C58" s="679" t="s">
        <v>364</v>
      </c>
      <c r="D58" s="681"/>
      <c r="E58" s="680"/>
      <c r="F58" s="679"/>
      <c r="H58" s="685">
        <v>18</v>
      </c>
      <c r="I58" s="680"/>
      <c r="J58" s="679"/>
      <c r="K58" s="681"/>
      <c r="L58" s="680"/>
      <c r="M58" s="679"/>
      <c r="O58" s="646"/>
      <c r="P58" s="647"/>
      <c r="Q58" s="647"/>
      <c r="R58" s="647"/>
      <c r="S58" s="647"/>
      <c r="T58" s="647"/>
      <c r="U58" s="648"/>
    </row>
    <row r="59" spans="1:21" ht="12.75">
      <c r="A59" s="686"/>
      <c r="B59" s="680"/>
      <c r="C59" s="679"/>
      <c r="D59" s="681"/>
      <c r="E59" s="680"/>
      <c r="F59" s="679"/>
      <c r="H59" s="685"/>
      <c r="I59" s="680"/>
      <c r="J59" s="679"/>
      <c r="K59" s="681"/>
      <c r="L59" s="680"/>
      <c r="M59" s="679"/>
      <c r="O59" s="646"/>
      <c r="P59" s="647"/>
      <c r="Q59" s="647"/>
      <c r="R59" s="647"/>
      <c r="S59" s="647"/>
      <c r="T59" s="647"/>
      <c r="U59" s="648"/>
    </row>
    <row r="60" spans="1:21" ht="12.75">
      <c r="A60" s="686">
        <v>4</v>
      </c>
      <c r="B60" s="680"/>
      <c r="C60" s="679"/>
      <c r="D60" s="681"/>
      <c r="E60" s="680"/>
      <c r="F60" s="679"/>
      <c r="H60" s="685">
        <v>19</v>
      </c>
      <c r="I60" s="680"/>
      <c r="J60" s="679"/>
      <c r="K60" s="681"/>
      <c r="L60" s="680"/>
      <c r="M60" s="679"/>
      <c r="O60" s="646"/>
      <c r="P60" s="647"/>
      <c r="Q60" s="647"/>
      <c r="R60" s="647"/>
      <c r="S60" s="647"/>
      <c r="T60" s="647"/>
      <c r="U60" s="648"/>
    </row>
    <row r="61" spans="1:21" ht="12.75">
      <c r="A61" s="686"/>
      <c r="B61" s="680"/>
      <c r="C61" s="679"/>
      <c r="D61" s="681"/>
      <c r="E61" s="680"/>
      <c r="F61" s="679"/>
      <c r="H61" s="685"/>
      <c r="I61" s="680"/>
      <c r="J61" s="679"/>
      <c r="K61" s="681"/>
      <c r="L61" s="680"/>
      <c r="M61" s="679"/>
      <c r="O61" s="646"/>
      <c r="P61" s="647"/>
      <c r="Q61" s="647"/>
      <c r="R61" s="647"/>
      <c r="S61" s="647"/>
      <c r="T61" s="647"/>
      <c r="U61" s="648"/>
    </row>
    <row r="62" spans="1:21" ht="12.75">
      <c r="A62" s="686">
        <v>5</v>
      </c>
      <c r="B62" s="680"/>
      <c r="C62" s="679"/>
      <c r="D62" s="681"/>
      <c r="E62" s="680"/>
      <c r="F62" s="679"/>
      <c r="H62" s="685">
        <v>20</v>
      </c>
      <c r="I62" s="680"/>
      <c r="J62" s="679"/>
      <c r="K62" s="681"/>
      <c r="L62" s="680"/>
      <c r="M62" s="679"/>
      <c r="O62" s="646"/>
      <c r="P62" s="647"/>
      <c r="Q62" s="647"/>
      <c r="R62" s="647"/>
      <c r="S62" s="647"/>
      <c r="T62" s="647"/>
      <c r="U62" s="648"/>
    </row>
    <row r="63" spans="1:21" ht="12.75">
      <c r="A63" s="686"/>
      <c r="B63" s="680"/>
      <c r="C63" s="679"/>
      <c r="D63" s="681"/>
      <c r="E63" s="680"/>
      <c r="F63" s="679"/>
      <c r="H63" s="685"/>
      <c r="I63" s="680"/>
      <c r="J63" s="679"/>
      <c r="K63" s="681"/>
      <c r="L63" s="680"/>
      <c r="M63" s="679"/>
      <c r="O63" s="646"/>
      <c r="P63" s="647"/>
      <c r="Q63" s="647"/>
      <c r="R63" s="647"/>
      <c r="S63" s="647"/>
      <c r="T63" s="647"/>
      <c r="U63" s="648"/>
    </row>
    <row r="64" spans="1:21" ht="13.5" thickBot="1">
      <c r="A64" s="686">
        <v>6</v>
      </c>
      <c r="B64" s="680"/>
      <c r="C64" s="679"/>
      <c r="D64" s="681"/>
      <c r="E64" s="680"/>
      <c r="F64" s="679"/>
      <c r="H64" s="685">
        <v>21</v>
      </c>
      <c r="I64" s="680"/>
      <c r="J64" s="679"/>
      <c r="K64" s="681"/>
      <c r="L64" s="680"/>
      <c r="M64" s="679"/>
      <c r="O64" s="770"/>
      <c r="P64" s="771"/>
      <c r="Q64" s="771"/>
      <c r="R64" s="771"/>
      <c r="S64" s="771"/>
      <c r="T64" s="771"/>
      <c r="U64" s="772"/>
    </row>
    <row r="65" spans="1:13" ht="12.75">
      <c r="A65" s="687"/>
      <c r="B65" s="680"/>
      <c r="C65" s="679"/>
      <c r="D65" s="681"/>
      <c r="E65" s="680"/>
      <c r="F65" s="679"/>
      <c r="H65" s="762"/>
      <c r="I65" s="680"/>
      <c r="J65" s="684"/>
      <c r="K65" s="681"/>
      <c r="L65" s="680"/>
      <c r="M65" s="679"/>
    </row>
    <row r="66" spans="1:21" ht="12.75">
      <c r="A66" s="686">
        <v>7</v>
      </c>
      <c r="B66" s="680"/>
      <c r="C66" s="679"/>
      <c r="D66" s="681"/>
      <c r="E66" s="680"/>
      <c r="F66" s="679"/>
      <c r="H66" s="685">
        <v>22</v>
      </c>
      <c r="I66" s="680"/>
      <c r="J66" s="679"/>
      <c r="K66" s="681"/>
      <c r="L66" s="680"/>
      <c r="M66" s="679"/>
      <c r="O66" s="317"/>
      <c r="P66" s="317"/>
      <c r="Q66" s="317"/>
      <c r="R66" s="317"/>
      <c r="S66" s="317"/>
      <c r="T66" s="317"/>
      <c r="U66" s="317"/>
    </row>
    <row r="67" spans="1:21" ht="12.75">
      <c r="A67" s="686"/>
      <c r="B67" s="680"/>
      <c r="C67" s="679"/>
      <c r="D67" s="681"/>
      <c r="E67" s="680"/>
      <c r="F67" s="679"/>
      <c r="H67" s="685"/>
      <c r="I67" s="680"/>
      <c r="J67" s="679"/>
      <c r="K67" s="681"/>
      <c r="L67" s="680"/>
      <c r="M67" s="679"/>
      <c r="O67" s="317"/>
      <c r="P67" s="317"/>
      <c r="Q67" s="317"/>
      <c r="R67" s="317"/>
      <c r="S67" s="317"/>
      <c r="T67" s="317"/>
      <c r="U67" s="317"/>
    </row>
    <row r="68" spans="1:21" ht="12.75">
      <c r="A68" s="686">
        <v>8</v>
      </c>
      <c r="B68" s="680"/>
      <c r="C68" s="679"/>
      <c r="D68" s="681"/>
      <c r="E68" s="680"/>
      <c r="F68" s="679"/>
      <c r="H68" s="685">
        <v>23</v>
      </c>
      <c r="I68" s="680"/>
      <c r="J68" s="679"/>
      <c r="K68" s="681"/>
      <c r="L68" s="680"/>
      <c r="M68" s="679"/>
      <c r="O68" s="317"/>
      <c r="P68" s="317"/>
      <c r="Q68" s="317"/>
      <c r="R68" s="317"/>
      <c r="S68" s="317"/>
      <c r="T68" s="317"/>
      <c r="U68" s="317"/>
    </row>
    <row r="69" spans="1:21" ht="12.75">
      <c r="A69" s="686"/>
      <c r="B69" s="680"/>
      <c r="C69" s="679"/>
      <c r="D69" s="681"/>
      <c r="E69" s="680"/>
      <c r="F69" s="679"/>
      <c r="H69" s="685"/>
      <c r="I69" s="680"/>
      <c r="J69" s="679"/>
      <c r="K69" s="681"/>
      <c r="L69" s="680"/>
      <c r="M69" s="679"/>
      <c r="O69" s="317"/>
      <c r="P69" s="317"/>
      <c r="Q69" s="317"/>
      <c r="R69" s="317"/>
      <c r="S69" s="317"/>
      <c r="T69" s="317"/>
      <c r="U69" s="317"/>
    </row>
    <row r="70" spans="1:21" ht="12.75">
      <c r="A70" s="686">
        <v>9</v>
      </c>
      <c r="B70" s="680"/>
      <c r="C70" s="679"/>
      <c r="D70" s="681"/>
      <c r="E70" s="680"/>
      <c r="F70" s="679"/>
      <c r="H70" s="685">
        <v>24</v>
      </c>
      <c r="I70" s="680"/>
      <c r="J70" s="679"/>
      <c r="K70" s="681"/>
      <c r="L70" s="680"/>
      <c r="M70" s="679"/>
      <c r="O70" s="317"/>
      <c r="P70" s="317"/>
      <c r="Q70" s="317"/>
      <c r="R70" s="317"/>
      <c r="S70" s="317"/>
      <c r="T70" s="317"/>
      <c r="U70" s="317"/>
    </row>
    <row r="71" spans="1:21" ht="12.75">
      <c r="A71" s="686"/>
      <c r="B71" s="680"/>
      <c r="C71" s="679"/>
      <c r="D71" s="681"/>
      <c r="E71" s="680"/>
      <c r="F71" s="679"/>
      <c r="H71" s="685"/>
      <c r="I71" s="680"/>
      <c r="J71" s="679"/>
      <c r="K71" s="681"/>
      <c r="L71" s="680"/>
      <c r="M71" s="679"/>
      <c r="O71" s="317"/>
      <c r="P71" s="317"/>
      <c r="Q71" s="317"/>
      <c r="R71" s="317"/>
      <c r="S71" s="317"/>
      <c r="T71" s="317"/>
      <c r="U71" s="317"/>
    </row>
    <row r="72" spans="1:21" ht="12.75">
      <c r="A72" s="686">
        <v>10</v>
      </c>
      <c r="B72" s="680"/>
      <c r="C72" s="679"/>
      <c r="D72" s="681"/>
      <c r="E72" s="680"/>
      <c r="F72" s="679"/>
      <c r="H72" s="685">
        <v>25</v>
      </c>
      <c r="I72" s="680"/>
      <c r="J72" s="679"/>
      <c r="K72" s="681"/>
      <c r="L72" s="680"/>
      <c r="M72" s="679"/>
      <c r="O72" s="317"/>
      <c r="P72" s="317"/>
      <c r="Q72" s="317"/>
      <c r="R72" s="317"/>
      <c r="S72" s="317"/>
      <c r="T72" s="317"/>
      <c r="U72" s="317"/>
    </row>
    <row r="73" spans="1:21" ht="12.75" customHeight="1">
      <c r="A73" s="686"/>
      <c r="B73" s="680"/>
      <c r="C73" s="679"/>
      <c r="D73" s="681"/>
      <c r="E73" s="680"/>
      <c r="F73" s="679"/>
      <c r="H73" s="685"/>
      <c r="I73" s="680"/>
      <c r="J73" s="679"/>
      <c r="K73" s="681"/>
      <c r="L73" s="680"/>
      <c r="M73" s="679"/>
      <c r="O73" s="255"/>
      <c r="P73" s="317"/>
      <c r="Q73" s="317"/>
      <c r="R73" s="317"/>
      <c r="S73" s="317"/>
      <c r="T73" s="317"/>
      <c r="U73" s="317"/>
    </row>
    <row r="74" spans="1:21" ht="12.75">
      <c r="A74" s="686">
        <v>11</v>
      </c>
      <c r="B74" s="680"/>
      <c r="C74" s="679"/>
      <c r="D74" s="681"/>
      <c r="E74" s="680"/>
      <c r="F74" s="679"/>
      <c r="H74" s="685">
        <v>26</v>
      </c>
      <c r="I74" s="680"/>
      <c r="J74" s="679"/>
      <c r="K74" s="681"/>
      <c r="L74" s="680"/>
      <c r="M74" s="679"/>
      <c r="O74" s="317"/>
      <c r="P74" s="317"/>
      <c r="Q74" s="317"/>
      <c r="R74" s="317"/>
      <c r="S74" s="317"/>
      <c r="T74" s="317"/>
      <c r="U74" s="317"/>
    </row>
    <row r="75" spans="1:21" ht="12.75">
      <c r="A75" s="686"/>
      <c r="B75" s="680"/>
      <c r="C75" s="679"/>
      <c r="D75" s="681"/>
      <c r="E75" s="680"/>
      <c r="F75" s="679"/>
      <c r="H75" s="685"/>
      <c r="I75" s="680"/>
      <c r="J75" s="679"/>
      <c r="K75" s="681"/>
      <c r="L75" s="680"/>
      <c r="M75" s="679"/>
      <c r="O75" s="317"/>
      <c r="P75" s="317"/>
      <c r="Q75" s="317"/>
      <c r="R75" s="317"/>
      <c r="S75" s="317"/>
      <c r="T75" s="317"/>
      <c r="U75" s="317"/>
    </row>
    <row r="76" spans="1:21" ht="12.75">
      <c r="A76" s="686">
        <v>12</v>
      </c>
      <c r="B76" s="680"/>
      <c r="C76" s="679"/>
      <c r="D76" s="681"/>
      <c r="E76" s="680"/>
      <c r="F76" s="679"/>
      <c r="H76" s="685">
        <v>27</v>
      </c>
      <c r="I76" s="680"/>
      <c r="J76" s="679"/>
      <c r="K76" s="681"/>
      <c r="L76" s="680"/>
      <c r="M76" s="679"/>
      <c r="O76" s="317"/>
      <c r="P76" s="317"/>
      <c r="Q76" s="317"/>
      <c r="R76" s="317"/>
      <c r="S76" s="317"/>
      <c r="T76" s="317"/>
      <c r="U76" s="317"/>
    </row>
    <row r="77" spans="1:21" ht="12.75">
      <c r="A77" s="686"/>
      <c r="B77" s="680"/>
      <c r="C77" s="679"/>
      <c r="D77" s="681"/>
      <c r="E77" s="680"/>
      <c r="F77" s="679"/>
      <c r="H77" s="685"/>
      <c r="I77" s="680"/>
      <c r="J77" s="679"/>
      <c r="K77" s="681"/>
      <c r="L77" s="680"/>
      <c r="M77" s="679"/>
      <c r="O77" s="317"/>
      <c r="P77" s="317"/>
      <c r="Q77" s="317"/>
      <c r="R77" s="317"/>
      <c r="S77" s="317"/>
      <c r="T77" s="317"/>
      <c r="U77" s="317"/>
    </row>
    <row r="78" spans="1:21" ht="12.75">
      <c r="A78" s="686">
        <v>13</v>
      </c>
      <c r="B78" s="680"/>
      <c r="C78" s="679"/>
      <c r="D78" s="681"/>
      <c r="E78" s="680"/>
      <c r="F78" s="679"/>
      <c r="H78" s="685">
        <v>28</v>
      </c>
      <c r="I78" s="680"/>
      <c r="J78" s="679"/>
      <c r="K78" s="681"/>
      <c r="L78" s="680"/>
      <c r="M78" s="679"/>
      <c r="O78" s="317"/>
      <c r="P78" s="317"/>
      <c r="Q78" s="317"/>
      <c r="R78" s="317"/>
      <c r="S78" s="317"/>
      <c r="T78" s="317"/>
      <c r="U78" s="317"/>
    </row>
    <row r="79" spans="1:21" ht="12.75">
      <c r="A79" s="686"/>
      <c r="B79" s="680"/>
      <c r="C79" s="679"/>
      <c r="D79" s="681"/>
      <c r="E79" s="680"/>
      <c r="F79" s="679"/>
      <c r="H79" s="685"/>
      <c r="I79" s="680"/>
      <c r="J79" s="679"/>
      <c r="K79" s="681"/>
      <c r="L79" s="680"/>
      <c r="M79" s="679"/>
      <c r="O79" s="317"/>
      <c r="P79" s="317"/>
      <c r="Q79" s="317"/>
      <c r="R79" s="317"/>
      <c r="S79" s="317"/>
      <c r="T79" s="317"/>
      <c r="U79" s="317"/>
    </row>
    <row r="80" spans="1:21" ht="12.75">
      <c r="A80" s="686">
        <v>14</v>
      </c>
      <c r="B80" s="680"/>
      <c r="C80" s="679"/>
      <c r="D80" s="681"/>
      <c r="E80" s="680"/>
      <c r="F80" s="679"/>
      <c r="H80" s="685">
        <v>29</v>
      </c>
      <c r="I80" s="680"/>
      <c r="J80" s="679"/>
      <c r="K80" s="681"/>
      <c r="L80" s="680"/>
      <c r="M80" s="679"/>
      <c r="O80" s="255"/>
      <c r="P80" s="255"/>
      <c r="Q80" s="255"/>
      <c r="R80" s="255"/>
      <c r="S80" s="255"/>
      <c r="T80" s="255"/>
      <c r="U80" s="255"/>
    </row>
    <row r="81" spans="1:13" ht="12.75">
      <c r="A81" s="686"/>
      <c r="B81" s="680"/>
      <c r="C81" s="679"/>
      <c r="D81" s="681"/>
      <c r="E81" s="680"/>
      <c r="F81" s="679"/>
      <c r="H81" s="685"/>
      <c r="I81" s="680"/>
      <c r="J81" s="679"/>
      <c r="K81" s="681"/>
      <c r="L81" s="773"/>
      <c r="M81" s="776"/>
    </row>
    <row r="82" spans="1:13" ht="13.5" thickBot="1">
      <c r="A82" s="686">
        <v>15</v>
      </c>
      <c r="B82" s="680"/>
      <c r="C82" s="679"/>
      <c r="D82" s="681"/>
      <c r="E82" s="680"/>
      <c r="F82" s="679"/>
      <c r="H82" s="685">
        <v>30</v>
      </c>
      <c r="I82" s="773"/>
      <c r="J82" s="679"/>
      <c r="K82" s="767"/>
      <c r="L82" s="774"/>
      <c r="M82" s="777"/>
    </row>
    <row r="83" spans="1:10" ht="13.5" thickBot="1">
      <c r="A83" s="763"/>
      <c r="B83" s="764"/>
      <c r="C83" s="765"/>
      <c r="D83" s="681"/>
      <c r="E83" s="773"/>
      <c r="F83" s="776"/>
      <c r="H83" s="779"/>
      <c r="I83" s="774"/>
      <c r="J83" s="765"/>
    </row>
    <row r="84" spans="4:6" ht="13.5" thickBot="1">
      <c r="D84" s="767"/>
      <c r="E84" s="774"/>
      <c r="F84" s="777"/>
    </row>
    <row r="85" ht="13.5" thickBot="1"/>
    <row r="86" spans="1:28" s="484" customFormat="1" ht="18" thickBot="1">
      <c r="A86" s="799" t="s">
        <v>62</v>
      </c>
      <c r="B86" s="799"/>
      <c r="C86" s="799"/>
      <c r="D86" s="769">
        <v>1</v>
      </c>
      <c r="E86" s="769"/>
      <c r="F86" s="769"/>
      <c r="G86" s="769">
        <v>2</v>
      </c>
      <c r="H86" s="769"/>
      <c r="I86" s="769"/>
      <c r="J86" s="769">
        <v>3</v>
      </c>
      <c r="K86" s="769"/>
      <c r="L86" s="769"/>
      <c r="M86" s="769">
        <v>4</v>
      </c>
      <c r="N86" s="769"/>
      <c r="O86" s="769"/>
      <c r="P86" s="769">
        <v>5</v>
      </c>
      <c r="Q86" s="769"/>
      <c r="R86" s="769"/>
      <c r="S86" s="778"/>
      <c r="T86" s="778"/>
      <c r="U86" s="483"/>
      <c r="W86" s="485"/>
      <c r="X86" s="485"/>
      <c r="Y86" s="485"/>
      <c r="Z86" s="485"/>
      <c r="AA86" s="485"/>
      <c r="AB86" s="485"/>
    </row>
    <row r="87" spans="1:28" ht="12.75">
      <c r="A87" s="800" t="s">
        <v>2340</v>
      </c>
      <c r="B87" s="800"/>
      <c r="C87" s="800"/>
      <c r="D87" s="768"/>
      <c r="E87" s="768"/>
      <c r="F87" s="768"/>
      <c r="G87" s="768"/>
      <c r="H87" s="768"/>
      <c r="I87" s="768"/>
      <c r="J87" s="768"/>
      <c r="K87" s="768"/>
      <c r="L87" s="768"/>
      <c r="M87" s="768"/>
      <c r="N87" s="768"/>
      <c r="O87" s="768"/>
      <c r="P87" s="768"/>
      <c r="Q87" s="768"/>
      <c r="R87" s="768"/>
      <c r="S87" s="775"/>
      <c r="T87" s="775"/>
      <c r="U87" s="261"/>
      <c r="W87" s="273"/>
      <c r="X87" s="273"/>
      <c r="Y87" s="273"/>
      <c r="Z87" s="273"/>
      <c r="AA87" s="273"/>
      <c r="AB87" s="273"/>
    </row>
    <row r="88" spans="1:21" ht="12.75">
      <c r="A88" s="783" t="s">
        <v>852</v>
      </c>
      <c r="B88" s="783"/>
      <c r="C88" s="783"/>
      <c r="D88" s="766"/>
      <c r="E88" s="766"/>
      <c r="F88" s="766"/>
      <c r="G88" s="766"/>
      <c r="H88" s="766"/>
      <c r="I88" s="766"/>
      <c r="J88" s="766"/>
      <c r="K88" s="766"/>
      <c r="L88" s="766"/>
      <c r="M88" s="766"/>
      <c r="N88" s="766"/>
      <c r="O88" s="766"/>
      <c r="P88" s="766"/>
      <c r="Q88" s="766"/>
      <c r="R88" s="766"/>
      <c r="S88" s="775"/>
      <c r="T88" s="775"/>
      <c r="U88" s="261"/>
    </row>
    <row r="89" spans="1:21" ht="12.75">
      <c r="A89" s="783" t="s">
        <v>855</v>
      </c>
      <c r="B89" s="783"/>
      <c r="C89" s="783"/>
      <c r="D89" s="766"/>
      <c r="E89" s="766"/>
      <c r="F89" s="766"/>
      <c r="G89" s="766"/>
      <c r="H89" s="766"/>
      <c r="I89" s="766"/>
      <c r="J89" s="766"/>
      <c r="K89" s="766"/>
      <c r="L89" s="766"/>
      <c r="M89" s="766"/>
      <c r="N89" s="766"/>
      <c r="O89" s="766"/>
      <c r="P89" s="766"/>
      <c r="Q89" s="766"/>
      <c r="R89" s="766"/>
      <c r="S89" s="775"/>
      <c r="T89" s="775"/>
      <c r="U89" s="261"/>
    </row>
    <row r="90" spans="1:21" ht="12.75">
      <c r="A90" s="783" t="s">
        <v>2612</v>
      </c>
      <c r="B90" s="783"/>
      <c r="C90" s="783"/>
      <c r="D90" s="766"/>
      <c r="E90" s="766"/>
      <c r="F90" s="766"/>
      <c r="G90" s="766"/>
      <c r="H90" s="766"/>
      <c r="I90" s="766"/>
      <c r="J90" s="766"/>
      <c r="K90" s="766"/>
      <c r="L90" s="766"/>
      <c r="M90" s="766"/>
      <c r="N90" s="766"/>
      <c r="O90" s="766"/>
      <c r="P90" s="766"/>
      <c r="Q90" s="766"/>
      <c r="R90" s="766"/>
      <c r="S90" s="775"/>
      <c r="T90" s="775"/>
      <c r="U90" s="261"/>
    </row>
    <row r="91" spans="1:21" ht="12.75">
      <c r="A91" s="783" t="s">
        <v>2613</v>
      </c>
      <c r="B91" s="783"/>
      <c r="C91" s="783"/>
      <c r="D91" s="766"/>
      <c r="E91" s="766"/>
      <c r="F91" s="766"/>
      <c r="G91" s="766"/>
      <c r="H91" s="766"/>
      <c r="I91" s="766"/>
      <c r="J91" s="766"/>
      <c r="K91" s="766"/>
      <c r="L91" s="766"/>
      <c r="M91" s="766"/>
      <c r="N91" s="766"/>
      <c r="O91" s="766"/>
      <c r="P91" s="766"/>
      <c r="Q91" s="766"/>
      <c r="R91" s="766"/>
      <c r="S91" s="775"/>
      <c r="T91" s="775"/>
      <c r="U91" s="261"/>
    </row>
    <row r="92" spans="1:21" ht="12.75">
      <c r="A92" s="783" t="s">
        <v>1738</v>
      </c>
      <c r="B92" s="783"/>
      <c r="C92" s="783"/>
      <c r="D92" s="766"/>
      <c r="E92" s="766"/>
      <c r="F92" s="766"/>
      <c r="G92" s="766"/>
      <c r="H92" s="766"/>
      <c r="I92" s="766"/>
      <c r="J92" s="766"/>
      <c r="K92" s="766"/>
      <c r="L92" s="766"/>
      <c r="M92" s="766"/>
      <c r="N92" s="766"/>
      <c r="O92" s="766"/>
      <c r="P92" s="766"/>
      <c r="Q92" s="766"/>
      <c r="R92" s="766"/>
      <c r="S92" s="775"/>
      <c r="T92" s="775"/>
      <c r="U92" s="261"/>
    </row>
    <row r="93" spans="1:21" ht="12.75">
      <c r="A93" s="783" t="s">
        <v>853</v>
      </c>
      <c r="B93" s="783"/>
      <c r="C93" s="783"/>
      <c r="D93" s="766"/>
      <c r="E93" s="766"/>
      <c r="F93" s="766"/>
      <c r="G93" s="766"/>
      <c r="H93" s="766"/>
      <c r="I93" s="766"/>
      <c r="J93" s="766"/>
      <c r="K93" s="766"/>
      <c r="L93" s="766"/>
      <c r="M93" s="766"/>
      <c r="N93" s="766"/>
      <c r="O93" s="766"/>
      <c r="P93" s="766"/>
      <c r="Q93" s="766"/>
      <c r="R93" s="766"/>
      <c r="S93" s="775" t="s">
        <v>89</v>
      </c>
      <c r="T93" s="775"/>
      <c r="U93" s="261"/>
    </row>
    <row r="94" spans="1:21" ht="12.75">
      <c r="A94" s="783" t="s">
        <v>1660</v>
      </c>
      <c r="B94" s="783"/>
      <c r="C94" s="783"/>
      <c r="D94" s="766"/>
      <c r="E94" s="766"/>
      <c r="F94" s="766"/>
      <c r="G94" s="766"/>
      <c r="H94" s="766"/>
      <c r="I94" s="766"/>
      <c r="J94" s="766"/>
      <c r="K94" s="766"/>
      <c r="L94" s="766"/>
      <c r="M94" s="766"/>
      <c r="N94" s="766"/>
      <c r="O94" s="766"/>
      <c r="P94" s="766"/>
      <c r="Q94" s="766"/>
      <c r="R94" s="766"/>
      <c r="S94" s="804" t="s">
        <v>3249</v>
      </c>
      <c r="T94" s="804"/>
      <c r="U94" s="261"/>
    </row>
    <row r="95" spans="1:21" ht="12.75">
      <c r="A95" s="783" t="s">
        <v>2331</v>
      </c>
      <c r="B95" s="783"/>
      <c r="C95" s="783"/>
      <c r="D95" s="766"/>
      <c r="E95" s="766"/>
      <c r="F95" s="766"/>
      <c r="G95" s="766"/>
      <c r="H95" s="766"/>
      <c r="I95" s="766"/>
      <c r="J95" s="766"/>
      <c r="K95" s="766"/>
      <c r="L95" s="766"/>
      <c r="M95" s="766"/>
      <c r="N95" s="766"/>
      <c r="O95" s="766"/>
      <c r="P95" s="766"/>
      <c r="Q95" s="766"/>
      <c r="R95" s="766"/>
      <c r="S95" s="775"/>
      <c r="T95" s="775"/>
      <c r="U95" s="261"/>
    </row>
    <row r="96" spans="1:21" ht="12.75">
      <c r="A96" s="783" t="s">
        <v>63</v>
      </c>
      <c r="B96" s="783"/>
      <c r="C96" s="783"/>
      <c r="D96" s="766"/>
      <c r="E96" s="766"/>
      <c r="F96" s="766"/>
      <c r="G96" s="766"/>
      <c r="H96" s="766"/>
      <c r="I96" s="766"/>
      <c r="J96" s="766"/>
      <c r="K96" s="766"/>
      <c r="L96" s="766"/>
      <c r="M96" s="766"/>
      <c r="N96" s="766"/>
      <c r="O96" s="766"/>
      <c r="P96" s="766"/>
      <c r="Q96" s="766"/>
      <c r="R96" s="766"/>
      <c r="S96" s="805" t="s">
        <v>364</v>
      </c>
      <c r="T96" s="805"/>
      <c r="U96" s="261"/>
    </row>
    <row r="97" spans="1:21" ht="12.75">
      <c r="A97" s="783" t="s">
        <v>2646</v>
      </c>
      <c r="B97" s="783"/>
      <c r="C97" s="783"/>
      <c r="D97" s="766"/>
      <c r="E97" s="766"/>
      <c r="F97" s="766"/>
      <c r="G97" s="766"/>
      <c r="H97" s="766"/>
      <c r="I97" s="766"/>
      <c r="J97" s="766"/>
      <c r="K97" s="766"/>
      <c r="L97" s="766"/>
      <c r="M97" s="766"/>
      <c r="N97" s="766"/>
      <c r="O97" s="766"/>
      <c r="P97" s="766"/>
      <c r="Q97" s="766"/>
      <c r="R97" s="766"/>
      <c r="S97" s="802" t="str">
        <f>S96</f>
        <v>ft</v>
      </c>
      <c r="T97" s="802"/>
      <c r="U97" s="261"/>
    </row>
    <row r="98" spans="1:21" ht="12.75">
      <c r="A98" s="783" t="s">
        <v>2329</v>
      </c>
      <c r="B98" s="783"/>
      <c r="C98" s="783"/>
      <c r="D98" s="803">
        <f>D99+D101</f>
        <v>0</v>
      </c>
      <c r="E98" s="803"/>
      <c r="F98" s="803"/>
      <c r="G98" s="803">
        <f>G99+G101</f>
        <v>0</v>
      </c>
      <c r="H98" s="803"/>
      <c r="I98" s="803"/>
      <c r="J98" s="803">
        <f>J99+J101</f>
        <v>0</v>
      </c>
      <c r="K98" s="803"/>
      <c r="L98" s="803"/>
      <c r="M98" s="803">
        <f>M99+M101</f>
        <v>0</v>
      </c>
      <c r="N98" s="803"/>
      <c r="O98" s="803"/>
      <c r="P98" s="803"/>
      <c r="Q98" s="803"/>
      <c r="R98" s="803"/>
      <c r="S98" s="802" t="str">
        <f aca="true" t="shared" si="0" ref="S98:S103">S97</f>
        <v>ft</v>
      </c>
      <c r="T98" s="802"/>
      <c r="U98" s="261"/>
    </row>
    <row r="99" spans="1:21" ht="12.75">
      <c r="A99" s="783" t="s">
        <v>71</v>
      </c>
      <c r="B99" s="783"/>
      <c r="C99" s="783"/>
      <c r="D99" s="766"/>
      <c r="E99" s="766"/>
      <c r="F99" s="766"/>
      <c r="G99" s="766"/>
      <c r="H99" s="766"/>
      <c r="I99" s="766"/>
      <c r="J99" s="766"/>
      <c r="K99" s="766"/>
      <c r="L99" s="766"/>
      <c r="M99" s="766"/>
      <c r="N99" s="766"/>
      <c r="O99" s="766"/>
      <c r="P99" s="766"/>
      <c r="Q99" s="766"/>
      <c r="R99" s="766"/>
      <c r="S99" s="802" t="str">
        <f t="shared" si="0"/>
        <v>ft</v>
      </c>
      <c r="T99" s="802"/>
      <c r="U99" s="261"/>
    </row>
    <row r="100" spans="1:21" ht="12.75">
      <c r="A100" s="783" t="s">
        <v>72</v>
      </c>
      <c r="B100" s="783"/>
      <c r="C100" s="783"/>
      <c r="D100" s="785"/>
      <c r="E100" s="785"/>
      <c r="F100" s="785"/>
      <c r="G100" s="801"/>
      <c r="H100" s="801"/>
      <c r="I100" s="801"/>
      <c r="J100" s="801"/>
      <c r="K100" s="801"/>
      <c r="L100" s="801"/>
      <c r="M100" s="801"/>
      <c r="N100" s="801"/>
      <c r="O100" s="801"/>
      <c r="P100" s="801"/>
      <c r="Q100" s="801"/>
      <c r="R100" s="801"/>
      <c r="S100" s="802" t="str">
        <f t="shared" si="0"/>
        <v>ft</v>
      </c>
      <c r="T100" s="802"/>
      <c r="U100" s="261"/>
    </row>
    <row r="101" spans="1:21" ht="12.75">
      <c r="A101" s="783" t="s">
        <v>74</v>
      </c>
      <c r="B101" s="783"/>
      <c r="C101" s="783"/>
      <c r="D101" s="766"/>
      <c r="E101" s="766"/>
      <c r="F101" s="766"/>
      <c r="G101" s="766"/>
      <c r="H101" s="766"/>
      <c r="I101" s="766"/>
      <c r="J101" s="766"/>
      <c r="K101" s="766"/>
      <c r="L101" s="766"/>
      <c r="M101" s="766"/>
      <c r="N101" s="766"/>
      <c r="O101" s="766"/>
      <c r="P101" s="766"/>
      <c r="Q101" s="766"/>
      <c r="R101" s="766"/>
      <c r="S101" s="802" t="str">
        <f t="shared" si="0"/>
        <v>ft</v>
      </c>
      <c r="T101" s="802"/>
      <c r="U101" s="261"/>
    </row>
    <row r="102" spans="1:21" ht="12.75">
      <c r="A102" s="783" t="s">
        <v>73</v>
      </c>
      <c r="B102" s="783"/>
      <c r="C102" s="783"/>
      <c r="D102" s="785"/>
      <c r="E102" s="785"/>
      <c r="F102" s="785"/>
      <c r="G102" s="801"/>
      <c r="H102" s="801"/>
      <c r="I102" s="801"/>
      <c r="J102" s="801"/>
      <c r="K102" s="801"/>
      <c r="L102" s="801"/>
      <c r="M102" s="801"/>
      <c r="N102" s="801"/>
      <c r="O102" s="801"/>
      <c r="P102" s="801"/>
      <c r="Q102" s="801"/>
      <c r="R102" s="801"/>
      <c r="S102" s="802" t="str">
        <f t="shared" si="0"/>
        <v>ft</v>
      </c>
      <c r="T102" s="802"/>
      <c r="U102" s="261"/>
    </row>
    <row r="103" spans="1:21" ht="12.75">
      <c r="A103" s="783" t="s">
        <v>2434</v>
      </c>
      <c r="B103" s="783"/>
      <c r="C103" s="783"/>
      <c r="D103" s="766"/>
      <c r="E103" s="766"/>
      <c r="F103" s="766"/>
      <c r="G103" s="766"/>
      <c r="H103" s="766"/>
      <c r="I103" s="766"/>
      <c r="J103" s="766"/>
      <c r="K103" s="766"/>
      <c r="L103" s="766"/>
      <c r="M103" s="766"/>
      <c r="N103" s="766"/>
      <c r="O103" s="766"/>
      <c r="P103" s="766"/>
      <c r="Q103" s="766"/>
      <c r="R103" s="766"/>
      <c r="S103" s="802" t="str">
        <f t="shared" si="0"/>
        <v>ft</v>
      </c>
      <c r="T103" s="802"/>
      <c r="U103" s="261"/>
    </row>
    <row r="104" spans="1:21" ht="12.75">
      <c r="A104" s="783" t="s">
        <v>2435</v>
      </c>
      <c r="B104" s="783"/>
      <c r="C104" s="783"/>
      <c r="D104" s="766"/>
      <c r="E104" s="766"/>
      <c r="F104" s="766"/>
      <c r="G104" s="766"/>
      <c r="H104" s="766"/>
      <c r="I104" s="766"/>
      <c r="J104" s="766"/>
      <c r="K104" s="766"/>
      <c r="L104" s="766"/>
      <c r="M104" s="766"/>
      <c r="N104" s="766"/>
      <c r="O104" s="766"/>
      <c r="P104" s="766"/>
      <c r="Q104" s="766"/>
      <c r="R104" s="766"/>
      <c r="S104" s="775" t="s">
        <v>2341</v>
      </c>
      <c r="T104" s="775"/>
      <c r="U104" s="261"/>
    </row>
    <row r="105" spans="1:29" ht="42" customHeight="1" thickBot="1">
      <c r="A105" s="784" t="s">
        <v>2680</v>
      </c>
      <c r="B105" s="784"/>
      <c r="C105" s="784"/>
      <c r="D105" s="786"/>
      <c r="E105" s="786"/>
      <c r="F105" s="786"/>
      <c r="G105" s="786"/>
      <c r="H105" s="786"/>
      <c r="I105" s="786"/>
      <c r="J105" s="786"/>
      <c r="K105" s="786"/>
      <c r="L105" s="786"/>
      <c r="M105" s="786"/>
      <c r="N105" s="786"/>
      <c r="O105" s="786"/>
      <c r="P105" s="786"/>
      <c r="Q105" s="786"/>
      <c r="R105" s="786"/>
      <c r="S105" s="775"/>
      <c r="T105" s="775"/>
      <c r="U105" s="261"/>
      <c r="V105" s="255"/>
      <c r="AC105" s="255"/>
    </row>
    <row r="106" spans="1:29" s="255" customFormat="1" ht="12.75" customHeight="1" thickBot="1">
      <c r="A106" s="274"/>
      <c r="B106" s="216"/>
      <c r="C106" s="216"/>
      <c r="H106" s="274"/>
      <c r="I106" s="216"/>
      <c r="J106" s="216"/>
      <c r="V106" s="217"/>
      <c r="AC106" s="217"/>
    </row>
    <row r="107" spans="1:25" s="485" customFormat="1" ht="18" thickBot="1">
      <c r="A107" s="780" t="s">
        <v>90</v>
      </c>
      <c r="B107" s="781"/>
      <c r="C107" s="781"/>
      <c r="D107" s="781"/>
      <c r="E107" s="781"/>
      <c r="F107" s="781"/>
      <c r="G107" s="781"/>
      <c r="H107" s="781"/>
      <c r="I107" s="781"/>
      <c r="J107" s="781"/>
      <c r="K107" s="781"/>
      <c r="L107" s="781"/>
      <c r="M107" s="781"/>
      <c r="N107" s="781"/>
      <c r="O107" s="781"/>
      <c r="P107" s="781"/>
      <c r="Q107" s="781"/>
      <c r="R107" s="781"/>
      <c r="S107" s="781"/>
      <c r="T107" s="782"/>
      <c r="U107" s="486"/>
      <c r="W107" s="487"/>
      <c r="X107" s="487"/>
      <c r="Y107" s="487"/>
    </row>
    <row r="108" spans="1:25" ht="12" customHeight="1">
      <c r="A108" s="795" t="s">
        <v>2445</v>
      </c>
      <c r="B108" s="796"/>
      <c r="C108" s="440">
        <v>8100</v>
      </c>
      <c r="D108" s="434">
        <v>8150</v>
      </c>
      <c r="E108" s="434">
        <v>8001</v>
      </c>
      <c r="F108" s="434">
        <v>8002</v>
      </c>
      <c r="G108" s="434">
        <v>8003</v>
      </c>
      <c r="H108" s="434">
        <v>2998</v>
      </c>
      <c r="I108" s="434">
        <v>2403</v>
      </c>
      <c r="J108" s="434">
        <v>8410</v>
      </c>
      <c r="K108" s="440">
        <v>8104</v>
      </c>
      <c r="L108" s="434">
        <v>2231</v>
      </c>
      <c r="M108" s="434">
        <v>2355</v>
      </c>
      <c r="N108" s="434">
        <v>8801</v>
      </c>
      <c r="O108" s="437" t="s">
        <v>452</v>
      </c>
      <c r="P108" s="437" t="s">
        <v>452</v>
      </c>
      <c r="Q108" s="446" t="s">
        <v>452</v>
      </c>
      <c r="R108" s="446" t="s">
        <v>452</v>
      </c>
      <c r="S108" s="446" t="s">
        <v>452</v>
      </c>
      <c r="T108" s="450" t="s">
        <v>452</v>
      </c>
      <c r="W108" s="481"/>
      <c r="X108" s="481"/>
      <c r="Y108" s="481"/>
    </row>
    <row r="109" spans="1:25" ht="90.75" customHeight="1">
      <c r="A109" s="797" t="s">
        <v>380</v>
      </c>
      <c r="B109" s="798"/>
      <c r="C109" s="441" t="s">
        <v>1735</v>
      </c>
      <c r="D109" s="442" t="s">
        <v>2605</v>
      </c>
      <c r="E109" s="435" t="s">
        <v>1736</v>
      </c>
      <c r="F109" s="442" t="s">
        <v>1737</v>
      </c>
      <c r="G109" s="435" t="s">
        <v>2436</v>
      </c>
      <c r="H109" s="435" t="s">
        <v>2678</v>
      </c>
      <c r="I109" s="435" t="s">
        <v>2610</v>
      </c>
      <c r="J109" s="435" t="s">
        <v>2437</v>
      </c>
      <c r="K109" s="441" t="s">
        <v>3307</v>
      </c>
      <c r="L109" s="442" t="s">
        <v>3308</v>
      </c>
      <c r="M109" s="442" t="s">
        <v>3309</v>
      </c>
      <c r="N109" s="442" t="s">
        <v>3310</v>
      </c>
      <c r="O109" s="439" t="s">
        <v>1681</v>
      </c>
      <c r="P109" s="439" t="s">
        <v>1682</v>
      </c>
      <c r="Q109" s="447" t="s">
        <v>1683</v>
      </c>
      <c r="R109" s="447" t="s">
        <v>1684</v>
      </c>
      <c r="S109" s="447" t="s">
        <v>1685</v>
      </c>
      <c r="T109" s="451" t="s">
        <v>1686</v>
      </c>
      <c r="W109" s="481"/>
      <c r="X109" s="481"/>
      <c r="Y109" s="481"/>
    </row>
    <row r="110" spans="1:25" ht="13.5" customHeight="1" thickBot="1">
      <c r="A110" s="789" t="s">
        <v>2446</v>
      </c>
      <c r="B110" s="790"/>
      <c r="C110" s="443" t="s">
        <v>2440</v>
      </c>
      <c r="D110" s="436" t="s">
        <v>2443</v>
      </c>
      <c r="E110" s="436" t="s">
        <v>2440</v>
      </c>
      <c r="F110" s="436" t="s">
        <v>2440</v>
      </c>
      <c r="G110" s="436" t="s">
        <v>2441</v>
      </c>
      <c r="H110" s="436" t="s">
        <v>2442</v>
      </c>
      <c r="I110" s="436" t="s">
        <v>2440</v>
      </c>
      <c r="J110" s="436" t="s">
        <v>2441</v>
      </c>
      <c r="K110" s="443" t="s">
        <v>2440</v>
      </c>
      <c r="L110" s="436" t="s">
        <v>2440</v>
      </c>
      <c r="M110" s="436" t="s">
        <v>2439</v>
      </c>
      <c r="N110" s="436" t="s">
        <v>2439</v>
      </c>
      <c r="O110" s="438" t="s">
        <v>451</v>
      </c>
      <c r="P110" s="438" t="s">
        <v>451</v>
      </c>
      <c r="Q110" s="448" t="s">
        <v>451</v>
      </c>
      <c r="R110" s="448" t="s">
        <v>451</v>
      </c>
      <c r="S110" s="448" t="s">
        <v>451</v>
      </c>
      <c r="T110" s="452" t="s">
        <v>451</v>
      </c>
      <c r="W110" s="481"/>
      <c r="X110" s="481"/>
      <c r="Y110" s="481"/>
    </row>
    <row r="111" spans="1:25" ht="12.75" customHeight="1">
      <c r="A111" s="791">
        <f>IF(D87,D87,"")</f>
      </c>
      <c r="B111" s="792"/>
      <c r="C111" s="456"/>
      <c r="D111" s="454"/>
      <c r="E111" s="454"/>
      <c r="F111" s="454"/>
      <c r="G111" s="454"/>
      <c r="H111" s="454"/>
      <c r="I111" s="454"/>
      <c r="J111" s="454"/>
      <c r="K111" s="454"/>
      <c r="L111" s="454"/>
      <c r="M111" s="454"/>
      <c r="N111" s="454"/>
      <c r="O111" s="454"/>
      <c r="P111" s="454"/>
      <c r="Q111" s="454"/>
      <c r="R111" s="454"/>
      <c r="S111" s="454"/>
      <c r="T111" s="455"/>
      <c r="W111" s="481"/>
      <c r="X111" s="481"/>
      <c r="Y111" s="481"/>
    </row>
    <row r="112" spans="1:25" ht="12.75" customHeight="1">
      <c r="A112" s="793">
        <f>IF(G87,G87,"")</f>
      </c>
      <c r="B112" s="794"/>
      <c r="C112" s="457"/>
      <c r="D112" s="444"/>
      <c r="E112" s="444"/>
      <c r="F112" s="444"/>
      <c r="G112" s="444"/>
      <c r="H112" s="444"/>
      <c r="I112" s="444"/>
      <c r="J112" s="444"/>
      <c r="K112" s="444"/>
      <c r="L112" s="444"/>
      <c r="M112" s="444"/>
      <c r="N112" s="444"/>
      <c r="O112" s="444"/>
      <c r="P112" s="444"/>
      <c r="Q112" s="444"/>
      <c r="R112" s="444"/>
      <c r="S112" s="444"/>
      <c r="T112" s="453"/>
      <c r="W112" s="481"/>
      <c r="X112" s="481"/>
      <c r="Y112" s="481"/>
    </row>
    <row r="113" spans="1:25" ht="12.75" customHeight="1">
      <c r="A113" s="793">
        <f>IF(J87,J87,"")</f>
      </c>
      <c r="B113" s="794"/>
      <c r="C113" s="457"/>
      <c r="D113" s="444"/>
      <c r="E113" s="444"/>
      <c r="F113" s="444"/>
      <c r="G113" s="444"/>
      <c r="H113" s="444"/>
      <c r="I113" s="444"/>
      <c r="J113" s="444"/>
      <c r="K113" s="444"/>
      <c r="L113" s="444"/>
      <c r="M113" s="444"/>
      <c r="N113" s="444"/>
      <c r="O113" s="444"/>
      <c r="P113" s="444"/>
      <c r="Q113" s="444"/>
      <c r="R113" s="444"/>
      <c r="S113" s="444"/>
      <c r="T113" s="453"/>
      <c r="W113" s="481"/>
      <c r="X113" s="481"/>
      <c r="Y113" s="481"/>
    </row>
    <row r="114" spans="1:25" ht="12.75" customHeight="1">
      <c r="A114" s="793">
        <f>IF(M87,M87,"")</f>
      </c>
      <c r="B114" s="794"/>
      <c r="C114" s="457"/>
      <c r="D114" s="444"/>
      <c r="E114" s="444"/>
      <c r="F114" s="444"/>
      <c r="G114" s="444"/>
      <c r="H114" s="444"/>
      <c r="I114" s="444"/>
      <c r="J114" s="444"/>
      <c r="K114" s="444"/>
      <c r="L114" s="444"/>
      <c r="M114" s="444"/>
      <c r="N114" s="444"/>
      <c r="O114" s="444"/>
      <c r="P114" s="444"/>
      <c r="Q114" s="444"/>
      <c r="R114" s="444"/>
      <c r="S114" s="444"/>
      <c r="T114" s="453"/>
      <c r="W114" s="481"/>
      <c r="X114" s="481"/>
      <c r="Y114" s="481"/>
    </row>
    <row r="115" spans="1:25" ht="13.5" customHeight="1" thickBot="1">
      <c r="A115" s="787">
        <f>IF(P87,P87,"")</f>
      </c>
      <c r="B115" s="788"/>
      <c r="C115" s="449"/>
      <c r="D115" s="438"/>
      <c r="E115" s="438"/>
      <c r="F115" s="438"/>
      <c r="G115" s="438"/>
      <c r="H115" s="438"/>
      <c r="I115" s="438"/>
      <c r="J115" s="438"/>
      <c r="K115" s="438"/>
      <c r="L115" s="438"/>
      <c r="M115" s="438"/>
      <c r="N115" s="438"/>
      <c r="O115" s="438"/>
      <c r="P115" s="438"/>
      <c r="Q115" s="438"/>
      <c r="R115" s="438"/>
      <c r="S115" s="438"/>
      <c r="T115" s="452"/>
      <c r="U115" s="311"/>
      <c r="W115" s="482"/>
      <c r="X115" s="482"/>
      <c r="Y115" s="482"/>
    </row>
    <row r="116" spans="3:29" ht="12.75" customHeight="1">
      <c r="C116" s="445"/>
      <c r="D116" s="445"/>
      <c r="E116" s="445"/>
      <c r="F116" s="445"/>
      <c r="G116" s="445"/>
      <c r="H116" s="445"/>
      <c r="I116" s="445"/>
      <c r="J116" s="445"/>
      <c r="K116" s="445"/>
      <c r="L116" s="445"/>
      <c r="M116" s="445"/>
      <c r="N116" s="445"/>
      <c r="O116" s="445"/>
      <c r="P116" s="445"/>
      <c r="Q116" s="445"/>
      <c r="R116" s="445"/>
      <c r="U116" s="261"/>
      <c r="Z116" s="310"/>
      <c r="AA116" s="311"/>
      <c r="AB116" s="311"/>
      <c r="AC116" s="311"/>
    </row>
    <row r="123" ht="12.75">
      <c r="U123" s="261"/>
    </row>
    <row r="124" ht="12.75">
      <c r="U124" s="261"/>
    </row>
    <row r="125" ht="12.75">
      <c r="U125" s="261"/>
    </row>
    <row r="126" ht="12.75">
      <c r="U126" s="261"/>
    </row>
    <row r="127" ht="12.75" customHeight="1"/>
    <row r="128" ht="12.75">
      <c r="U128" s="261"/>
    </row>
    <row r="129" ht="12.75">
      <c r="U129" s="261"/>
    </row>
    <row r="130" ht="12.75">
      <c r="U130" s="261"/>
    </row>
    <row r="131" ht="12.75">
      <c r="U131" s="261"/>
    </row>
    <row r="132" ht="12.75">
      <c r="U132" s="261"/>
    </row>
    <row r="133" ht="12.75">
      <c r="U133" s="261"/>
    </row>
    <row r="134" ht="12.75">
      <c r="U134" s="261"/>
    </row>
    <row r="135" ht="12.75">
      <c r="U135" s="261"/>
    </row>
    <row r="136" ht="12.75">
      <c r="U136" s="261"/>
    </row>
    <row r="137" ht="12.75">
      <c r="U137" s="261"/>
    </row>
    <row r="138" ht="12.75">
      <c r="U138" s="261"/>
    </row>
    <row r="139" ht="12.75">
      <c r="U139" s="261"/>
    </row>
    <row r="140" ht="12.75">
      <c r="U140" s="261"/>
    </row>
    <row r="141" ht="12.75">
      <c r="U141" s="261"/>
    </row>
    <row r="142" ht="12.75">
      <c r="U142" s="261"/>
    </row>
    <row r="143" ht="12.75">
      <c r="U143" s="261"/>
    </row>
    <row r="144" ht="12.75">
      <c r="U144" s="261"/>
    </row>
    <row r="145" ht="12.75">
      <c r="U145" s="261"/>
    </row>
    <row r="146" ht="12.75">
      <c r="U146" s="261"/>
    </row>
    <row r="147" ht="12.75">
      <c r="U147" s="261"/>
    </row>
    <row r="148" ht="12.75">
      <c r="U148" s="261"/>
    </row>
    <row r="149" ht="12.75">
      <c r="U149" s="261"/>
    </row>
    <row r="150" ht="12.75">
      <c r="U150" s="261"/>
    </row>
    <row r="151" ht="12.75">
      <c r="U151" s="261"/>
    </row>
    <row r="152" ht="12.75">
      <c r="U152" s="261"/>
    </row>
    <row r="153" ht="12.75">
      <c r="U153" s="261"/>
    </row>
    <row r="154" ht="12.75">
      <c r="U154" s="261"/>
    </row>
    <row r="155" ht="12.75">
      <c r="U155" s="261"/>
    </row>
    <row r="156" ht="12.75">
      <c r="U156" s="261"/>
    </row>
    <row r="157" ht="12.75">
      <c r="U157" s="261"/>
    </row>
    <row r="158" ht="12.75">
      <c r="U158" s="261"/>
    </row>
    <row r="159" ht="12.75">
      <c r="U159" s="261"/>
    </row>
    <row r="160" ht="12.75">
      <c r="U160" s="261"/>
    </row>
    <row r="161" ht="12.75">
      <c r="U161" s="261"/>
    </row>
    <row r="162" ht="12.75">
      <c r="U162" s="261"/>
    </row>
    <row r="163" ht="12.75">
      <c r="U163" s="261"/>
    </row>
    <row r="164" ht="12.75">
      <c r="U164" s="261"/>
    </row>
    <row r="165" ht="12.75">
      <c r="U165" s="261"/>
    </row>
    <row r="166" ht="12.75">
      <c r="U166" s="261"/>
    </row>
    <row r="167" ht="12.75">
      <c r="U167" s="261"/>
    </row>
    <row r="168" ht="12.75" customHeight="1">
      <c r="U168" s="261"/>
    </row>
    <row r="169" ht="12.75">
      <c r="U169" s="261"/>
    </row>
    <row r="170" ht="12.75">
      <c r="U170" s="261"/>
    </row>
    <row r="171" ht="12.75" customHeight="1"/>
    <row r="172" ht="12.75">
      <c r="U172" s="261"/>
    </row>
    <row r="173" ht="12.75">
      <c r="U173" s="261"/>
    </row>
    <row r="174" ht="12.75">
      <c r="U174" s="261"/>
    </row>
    <row r="175" ht="12.75">
      <c r="U175" s="261"/>
    </row>
    <row r="176" ht="12.75">
      <c r="U176" s="261"/>
    </row>
    <row r="177" ht="12.75">
      <c r="U177" s="261"/>
    </row>
    <row r="178" ht="12.75">
      <c r="U178" s="261"/>
    </row>
    <row r="179" ht="12.75">
      <c r="U179" s="261"/>
    </row>
    <row r="180" ht="12.75">
      <c r="U180" s="261"/>
    </row>
    <row r="181" ht="12.75">
      <c r="U181" s="261"/>
    </row>
    <row r="182" ht="12.75">
      <c r="U182" s="261"/>
    </row>
    <row r="183" ht="12.75">
      <c r="U183" s="261"/>
    </row>
    <row r="184" ht="12.75">
      <c r="U184" s="261"/>
    </row>
    <row r="185" ht="12.75">
      <c r="U185" s="261"/>
    </row>
    <row r="186" ht="12.75">
      <c r="U186" s="261"/>
    </row>
    <row r="187" ht="12.75">
      <c r="U187" s="261"/>
    </row>
    <row r="188" ht="12.75">
      <c r="U188" s="261"/>
    </row>
    <row r="189" ht="12.75">
      <c r="U189" s="261"/>
    </row>
    <row r="190" ht="12.75">
      <c r="U190" s="261"/>
    </row>
    <row r="191" ht="12.75">
      <c r="U191" s="261"/>
    </row>
    <row r="192" ht="12.75">
      <c r="U192" s="261"/>
    </row>
    <row r="193" ht="12.75">
      <c r="U193" s="261"/>
    </row>
    <row r="194" ht="12.75">
      <c r="U194" s="261"/>
    </row>
    <row r="195" ht="12.75">
      <c r="U195" s="261"/>
    </row>
    <row r="196" ht="12.75">
      <c r="U196" s="261"/>
    </row>
    <row r="197" ht="12.75">
      <c r="U197" s="261"/>
    </row>
    <row r="198" ht="12.75">
      <c r="U198" s="261"/>
    </row>
    <row r="199" ht="12.75">
      <c r="U199" s="261"/>
    </row>
    <row r="200" ht="12.75">
      <c r="U200" s="261"/>
    </row>
    <row r="201" ht="12.75">
      <c r="U201" s="261"/>
    </row>
    <row r="202" ht="12.75">
      <c r="U202" s="261"/>
    </row>
    <row r="203" ht="12.75">
      <c r="U203" s="261"/>
    </row>
    <row r="204" ht="12.75">
      <c r="U204" s="261"/>
    </row>
    <row r="205" ht="12.75">
      <c r="U205" s="261"/>
    </row>
    <row r="206" ht="12.75">
      <c r="U206" s="261"/>
    </row>
    <row r="207" ht="12.75">
      <c r="U207" s="261"/>
    </row>
    <row r="208" ht="12.75">
      <c r="U208" s="261"/>
    </row>
    <row r="209" ht="12.75">
      <c r="U209" s="261"/>
    </row>
    <row r="210" ht="12.75">
      <c r="U210" s="261"/>
    </row>
    <row r="211" ht="12.75">
      <c r="U211" s="261"/>
    </row>
    <row r="212" ht="12.75">
      <c r="U212" s="261"/>
    </row>
    <row r="213" ht="12.75">
      <c r="U213" s="261"/>
    </row>
    <row r="214" ht="12.75">
      <c r="U214" s="261"/>
    </row>
    <row r="215" ht="12.75" customHeight="1"/>
    <row r="216" ht="12.75">
      <c r="U216" s="261"/>
    </row>
    <row r="217" ht="12.75">
      <c r="U217" s="261"/>
    </row>
    <row r="218" ht="12.75">
      <c r="U218" s="261"/>
    </row>
    <row r="219" ht="12.75">
      <c r="U219" s="261"/>
    </row>
    <row r="220" ht="12.75">
      <c r="U220" s="261"/>
    </row>
    <row r="221" ht="12.75">
      <c r="U221" s="261"/>
    </row>
    <row r="222" ht="12.75">
      <c r="U222" s="261"/>
    </row>
    <row r="223" ht="12.75">
      <c r="U223" s="261"/>
    </row>
    <row r="224" ht="12.75">
      <c r="U224" s="261"/>
    </row>
    <row r="225" ht="12.75">
      <c r="U225" s="261"/>
    </row>
    <row r="226" ht="12.75">
      <c r="U226" s="261"/>
    </row>
    <row r="227" ht="12.75">
      <c r="U227" s="261"/>
    </row>
    <row r="228" ht="12.75">
      <c r="U228" s="261"/>
    </row>
    <row r="229" ht="12.75">
      <c r="U229" s="261"/>
    </row>
    <row r="230" ht="12.75">
      <c r="U230" s="261"/>
    </row>
    <row r="231" ht="12.75">
      <c r="U231" s="261"/>
    </row>
    <row r="232" ht="12.75">
      <c r="U232" s="261"/>
    </row>
    <row r="233" ht="12.75">
      <c r="U233" s="261"/>
    </row>
    <row r="234" ht="12.75">
      <c r="U234" s="261"/>
    </row>
    <row r="235" ht="12.75">
      <c r="U235" s="261"/>
    </row>
    <row r="236" ht="12.75">
      <c r="U236" s="261"/>
    </row>
    <row r="237" ht="12.75">
      <c r="U237" s="261"/>
    </row>
    <row r="238" ht="12.75">
      <c r="U238" s="261"/>
    </row>
    <row r="239" ht="12.75">
      <c r="U239" s="261"/>
    </row>
    <row r="240" ht="12.75">
      <c r="U240" s="261"/>
    </row>
    <row r="241" ht="12.75">
      <c r="U241" s="261"/>
    </row>
    <row r="242" ht="12.75">
      <c r="U242" s="261"/>
    </row>
    <row r="243" ht="12.75">
      <c r="U243" s="261"/>
    </row>
    <row r="244" ht="12.75">
      <c r="U244" s="261"/>
    </row>
    <row r="245" ht="12.75">
      <c r="U245" s="261"/>
    </row>
    <row r="246" ht="12.75">
      <c r="U246" s="261"/>
    </row>
    <row r="247" ht="12.75">
      <c r="U247" s="261"/>
    </row>
    <row r="248" ht="12.75">
      <c r="U248" s="261"/>
    </row>
    <row r="249" ht="12.75">
      <c r="U249" s="261"/>
    </row>
    <row r="250" ht="12.75">
      <c r="U250" s="261"/>
    </row>
    <row r="251" ht="12.75">
      <c r="U251" s="261"/>
    </row>
    <row r="252" ht="12.75">
      <c r="U252" s="261"/>
    </row>
    <row r="253" ht="12.75">
      <c r="U253" s="261"/>
    </row>
    <row r="254" ht="12.75">
      <c r="U254" s="261"/>
    </row>
    <row r="255" ht="12.75">
      <c r="U255" s="261"/>
    </row>
    <row r="256" ht="12.75">
      <c r="U256" s="261"/>
    </row>
    <row r="257" ht="12.75">
      <c r="U257" s="261"/>
    </row>
    <row r="258" ht="12.75">
      <c r="U258" s="261"/>
    </row>
    <row r="259" ht="12.75" customHeight="1"/>
    <row r="260" ht="12.75">
      <c r="U260" s="261"/>
    </row>
    <row r="261" ht="12.75">
      <c r="U261" s="261"/>
    </row>
    <row r="262" ht="12.75">
      <c r="U262" s="261"/>
    </row>
    <row r="263" ht="12.75">
      <c r="U263" s="261"/>
    </row>
    <row r="264" ht="12.75">
      <c r="U264" s="261"/>
    </row>
    <row r="265" ht="12.75">
      <c r="U265" s="261"/>
    </row>
    <row r="266" ht="12.75">
      <c r="U266" s="261"/>
    </row>
    <row r="267" ht="12.75">
      <c r="U267" s="261"/>
    </row>
    <row r="268" ht="12.75">
      <c r="U268" s="261"/>
    </row>
    <row r="269" ht="12.75">
      <c r="U269" s="261"/>
    </row>
    <row r="270" ht="12.75">
      <c r="U270" s="261"/>
    </row>
    <row r="271" ht="12.75">
      <c r="U271" s="261"/>
    </row>
    <row r="272" ht="12.75">
      <c r="U272" s="261"/>
    </row>
    <row r="273" ht="12.75">
      <c r="U273" s="261"/>
    </row>
    <row r="274" ht="12.75">
      <c r="U274" s="261"/>
    </row>
    <row r="275" ht="12.75">
      <c r="U275" s="261"/>
    </row>
    <row r="276" ht="12.75">
      <c r="U276" s="261"/>
    </row>
    <row r="277" ht="12.75">
      <c r="U277" s="261"/>
    </row>
    <row r="278" ht="12.75">
      <c r="U278" s="261"/>
    </row>
    <row r="279" ht="12.75">
      <c r="U279" s="261"/>
    </row>
    <row r="280" ht="12.75">
      <c r="U280" s="261"/>
    </row>
    <row r="281" ht="12.75">
      <c r="U281" s="261"/>
    </row>
    <row r="282" ht="12.75">
      <c r="U282" s="261"/>
    </row>
    <row r="283" ht="12.75">
      <c r="U283" s="261"/>
    </row>
    <row r="284" ht="12.75">
      <c r="U284" s="261"/>
    </row>
    <row r="285" ht="12.75">
      <c r="U285" s="261"/>
    </row>
    <row r="286" ht="12.75">
      <c r="U286" s="261"/>
    </row>
    <row r="287" ht="12.75">
      <c r="U287" s="261"/>
    </row>
    <row r="288" ht="12.75">
      <c r="U288" s="261"/>
    </row>
    <row r="289" ht="12.75">
      <c r="U289" s="261"/>
    </row>
    <row r="290" ht="12.75">
      <c r="U290" s="261"/>
    </row>
    <row r="291" ht="12.75">
      <c r="U291" s="261"/>
    </row>
    <row r="292" ht="12.75">
      <c r="U292" s="261"/>
    </row>
    <row r="293" ht="12.75">
      <c r="U293" s="261"/>
    </row>
    <row r="294" ht="12.75">
      <c r="U294" s="261"/>
    </row>
    <row r="295" ht="12.75">
      <c r="U295" s="261"/>
    </row>
    <row r="296" ht="12.75">
      <c r="U296" s="261"/>
    </row>
    <row r="297" ht="12.75">
      <c r="U297" s="261"/>
    </row>
    <row r="298" ht="12.75">
      <c r="U298" s="261"/>
    </row>
    <row r="299" ht="12.75">
      <c r="U299" s="261"/>
    </row>
    <row r="300" ht="12.75">
      <c r="U300" s="261"/>
    </row>
    <row r="301" ht="12.75">
      <c r="U301" s="261"/>
    </row>
    <row r="302" ht="12.75">
      <c r="U302" s="261"/>
    </row>
    <row r="303" ht="6.75" customHeight="1"/>
    <row r="304" ht="12.75">
      <c r="U304" s="261"/>
    </row>
    <row r="305" ht="12.75">
      <c r="U305" s="261"/>
    </row>
    <row r="306" ht="12.75">
      <c r="U306" s="261"/>
    </row>
    <row r="307" ht="12.75">
      <c r="U307" s="261"/>
    </row>
    <row r="308" ht="12.75">
      <c r="U308" s="261"/>
    </row>
    <row r="309" ht="12.75">
      <c r="U309" s="261"/>
    </row>
    <row r="310" ht="12.75">
      <c r="U310" s="261"/>
    </row>
    <row r="311" ht="12.75">
      <c r="U311" s="261"/>
    </row>
    <row r="312" ht="12.75">
      <c r="U312" s="261"/>
    </row>
    <row r="313" ht="12.75">
      <c r="U313" s="261"/>
    </row>
    <row r="314" ht="12.75">
      <c r="U314" s="261"/>
    </row>
    <row r="315" ht="12.75">
      <c r="U315" s="261"/>
    </row>
    <row r="316" ht="12.75">
      <c r="U316" s="261"/>
    </row>
    <row r="317" ht="12.75">
      <c r="U317" s="261"/>
    </row>
    <row r="318" ht="12.75">
      <c r="U318" s="261"/>
    </row>
    <row r="319" ht="12.75">
      <c r="U319" s="261"/>
    </row>
    <row r="320" ht="12.75">
      <c r="U320" s="261"/>
    </row>
    <row r="321" ht="12.75">
      <c r="U321" s="261"/>
    </row>
    <row r="322" ht="12.75">
      <c r="U322" s="261"/>
    </row>
    <row r="323" ht="12.75">
      <c r="U323" s="261"/>
    </row>
    <row r="324" ht="12.75">
      <c r="U324" s="261"/>
    </row>
    <row r="325" ht="12.75">
      <c r="U325" s="261"/>
    </row>
    <row r="326" ht="12.75">
      <c r="U326" s="261"/>
    </row>
    <row r="327" ht="12.75">
      <c r="U327" s="261"/>
    </row>
    <row r="328" ht="12.75">
      <c r="U328" s="261"/>
    </row>
    <row r="329" ht="12.75">
      <c r="U329" s="261"/>
    </row>
    <row r="330" ht="12.75">
      <c r="U330" s="261"/>
    </row>
    <row r="331" ht="12.75">
      <c r="U331" s="261"/>
    </row>
    <row r="332" ht="12.75">
      <c r="U332" s="261"/>
    </row>
    <row r="333" ht="12.75">
      <c r="U333" s="261"/>
    </row>
    <row r="334" ht="12.75">
      <c r="U334" s="261"/>
    </row>
    <row r="335" ht="12.75">
      <c r="U335" s="261"/>
    </row>
    <row r="336" ht="12.75">
      <c r="U336" s="261"/>
    </row>
    <row r="337" ht="12.75">
      <c r="U337" s="261"/>
    </row>
    <row r="338" ht="12.75">
      <c r="U338" s="261"/>
    </row>
    <row r="339" ht="12.75">
      <c r="U339" s="261"/>
    </row>
    <row r="340" ht="12.75">
      <c r="U340" s="261"/>
    </row>
    <row r="341" ht="12.75">
      <c r="U341" s="261"/>
    </row>
    <row r="342" ht="12.75">
      <c r="U342" s="261"/>
    </row>
    <row r="343" ht="12.75">
      <c r="U343" s="261"/>
    </row>
    <row r="344" ht="12.75">
      <c r="U344" s="261"/>
    </row>
    <row r="345" ht="12.75">
      <c r="U345" s="261"/>
    </row>
    <row r="346" ht="12.75">
      <c r="U346" s="261"/>
    </row>
    <row r="347" ht="6.75" customHeight="1"/>
    <row r="348" ht="12.75">
      <c r="U348" s="261"/>
    </row>
    <row r="349" ht="12.75">
      <c r="U349" s="261"/>
    </row>
    <row r="350" ht="12.75">
      <c r="U350" s="261"/>
    </row>
    <row r="351" ht="12.75">
      <c r="U351" s="261"/>
    </row>
    <row r="352" ht="12.75">
      <c r="U352" s="261"/>
    </row>
    <row r="353" ht="12.75">
      <c r="U353" s="261"/>
    </row>
    <row r="354" ht="12.75">
      <c r="U354" s="261"/>
    </row>
    <row r="355" ht="12.75">
      <c r="U355" s="261"/>
    </row>
    <row r="356" ht="12.75">
      <c r="U356" s="261"/>
    </row>
    <row r="357" ht="12.75">
      <c r="U357" s="261"/>
    </row>
    <row r="358" ht="12.75">
      <c r="U358" s="261"/>
    </row>
    <row r="359" ht="12.75">
      <c r="U359" s="261"/>
    </row>
    <row r="360" ht="12.75">
      <c r="U360" s="261"/>
    </row>
    <row r="361" ht="12.75">
      <c r="U361" s="261"/>
    </row>
    <row r="362" ht="12.75">
      <c r="U362" s="261"/>
    </row>
    <row r="363" ht="12.75">
      <c r="U363" s="261"/>
    </row>
    <row r="364" ht="12.75">
      <c r="U364" s="261"/>
    </row>
    <row r="365" ht="12.75">
      <c r="U365" s="261"/>
    </row>
    <row r="366" ht="12.75">
      <c r="U366" s="261"/>
    </row>
    <row r="367" ht="12.75">
      <c r="U367" s="261"/>
    </row>
    <row r="368" ht="12.75">
      <c r="U368" s="261"/>
    </row>
    <row r="369" ht="12.75">
      <c r="U369" s="261"/>
    </row>
    <row r="370" ht="12.75">
      <c r="U370" s="261"/>
    </row>
    <row r="371" ht="12.75">
      <c r="U371" s="261"/>
    </row>
    <row r="372" ht="12.75">
      <c r="U372" s="261"/>
    </row>
    <row r="373" ht="12.75">
      <c r="U373" s="261"/>
    </row>
    <row r="374" ht="12.75">
      <c r="U374" s="261"/>
    </row>
    <row r="375" ht="12.75">
      <c r="U375" s="261"/>
    </row>
    <row r="376" ht="12.75">
      <c r="U376" s="261"/>
    </row>
    <row r="377" ht="12.75">
      <c r="U377" s="261"/>
    </row>
    <row r="378" ht="12.75">
      <c r="U378" s="261"/>
    </row>
    <row r="379" ht="12.75">
      <c r="U379" s="261"/>
    </row>
    <row r="380" ht="12.75">
      <c r="U380" s="261"/>
    </row>
    <row r="381" ht="12.75">
      <c r="U381" s="261"/>
    </row>
    <row r="382" ht="12.75">
      <c r="U382" s="261"/>
    </row>
    <row r="383" ht="12.75">
      <c r="U383" s="261"/>
    </row>
    <row r="384" ht="12.75">
      <c r="U384" s="261"/>
    </row>
    <row r="385" ht="12.75">
      <c r="U385" s="261"/>
    </row>
    <row r="386" ht="12.75">
      <c r="U386" s="261"/>
    </row>
    <row r="387" ht="12.75">
      <c r="U387" s="261"/>
    </row>
    <row r="388" ht="12.75">
      <c r="U388" s="261"/>
    </row>
    <row r="389" ht="12.75">
      <c r="U389" s="261"/>
    </row>
    <row r="390" ht="12.75">
      <c r="U390" s="261"/>
    </row>
    <row r="391" ht="6.75" customHeight="1"/>
    <row r="392" ht="12.75">
      <c r="U392" s="261"/>
    </row>
    <row r="393" ht="12.75">
      <c r="U393" s="261"/>
    </row>
    <row r="394" ht="12.75">
      <c r="U394" s="261"/>
    </row>
    <row r="395" ht="12.75">
      <c r="U395" s="261"/>
    </row>
    <row r="396" ht="12.75">
      <c r="U396" s="261"/>
    </row>
    <row r="397" ht="12.75">
      <c r="U397" s="261"/>
    </row>
    <row r="398" ht="12.75">
      <c r="U398" s="261"/>
    </row>
    <row r="399" ht="12.75">
      <c r="U399" s="261"/>
    </row>
    <row r="400" ht="12.75">
      <c r="U400" s="261"/>
    </row>
    <row r="401" ht="12.75">
      <c r="U401" s="261"/>
    </row>
    <row r="402" ht="12.75">
      <c r="U402" s="261"/>
    </row>
    <row r="403" ht="12.75">
      <c r="U403" s="261"/>
    </row>
    <row r="404" ht="12.75">
      <c r="U404" s="261"/>
    </row>
    <row r="405" ht="12.75">
      <c r="U405" s="261"/>
    </row>
    <row r="406" ht="12.75">
      <c r="U406" s="261"/>
    </row>
    <row r="407" ht="12.75">
      <c r="U407" s="261"/>
    </row>
    <row r="408" ht="12.75">
      <c r="U408" s="261"/>
    </row>
    <row r="409" ht="12.75">
      <c r="U409" s="261"/>
    </row>
    <row r="410" ht="12.75">
      <c r="U410" s="261"/>
    </row>
    <row r="411" ht="12.75">
      <c r="U411" s="261"/>
    </row>
    <row r="412" ht="12.75">
      <c r="U412" s="261"/>
    </row>
    <row r="413" ht="12.75">
      <c r="U413" s="261"/>
    </row>
    <row r="414" ht="12.75">
      <c r="U414" s="261"/>
    </row>
    <row r="415" ht="12.75">
      <c r="U415" s="261"/>
    </row>
    <row r="416" ht="12.75">
      <c r="U416" s="261"/>
    </row>
    <row r="417" ht="12.75">
      <c r="U417" s="261"/>
    </row>
    <row r="418" ht="12.75">
      <c r="U418" s="261"/>
    </row>
    <row r="419" ht="12.75">
      <c r="U419" s="261"/>
    </row>
    <row r="420" ht="12.75">
      <c r="U420" s="261"/>
    </row>
    <row r="421" ht="12.75">
      <c r="U421" s="261"/>
    </row>
    <row r="422" ht="12.75">
      <c r="U422" s="261"/>
    </row>
    <row r="423" ht="12.75">
      <c r="U423" s="261"/>
    </row>
    <row r="424" ht="12.75">
      <c r="U424" s="261"/>
    </row>
    <row r="425" ht="12.75">
      <c r="U425" s="261"/>
    </row>
    <row r="426" ht="12.75">
      <c r="U426" s="261"/>
    </row>
    <row r="427" ht="12.75">
      <c r="U427" s="261"/>
    </row>
    <row r="428" ht="12.75">
      <c r="U428" s="261"/>
    </row>
    <row r="429" ht="12.75">
      <c r="U429" s="261"/>
    </row>
    <row r="430" ht="12.75">
      <c r="U430" s="261"/>
    </row>
    <row r="431" ht="12.75">
      <c r="U431" s="261"/>
    </row>
    <row r="432" ht="12.75">
      <c r="U432" s="261"/>
    </row>
    <row r="433" ht="12.75">
      <c r="U433" s="261"/>
    </row>
    <row r="434" ht="12.75">
      <c r="U434" s="261"/>
    </row>
    <row r="435" ht="6.75" customHeight="1"/>
    <row r="436" ht="12.75">
      <c r="U436" s="261"/>
    </row>
    <row r="437" ht="12.75">
      <c r="U437" s="261"/>
    </row>
    <row r="438" ht="12.75">
      <c r="U438" s="261"/>
    </row>
    <row r="439" ht="12.75">
      <c r="U439" s="261"/>
    </row>
    <row r="440" ht="12.75">
      <c r="U440" s="261"/>
    </row>
    <row r="441" ht="12.75">
      <c r="U441" s="261"/>
    </row>
    <row r="442" ht="12.75">
      <c r="U442" s="261"/>
    </row>
    <row r="443" ht="12.75">
      <c r="U443" s="261"/>
    </row>
    <row r="444" ht="12.75">
      <c r="U444" s="261"/>
    </row>
    <row r="445" ht="12.75">
      <c r="U445" s="261"/>
    </row>
    <row r="446" ht="12.75">
      <c r="U446" s="261"/>
    </row>
    <row r="447" ht="12.75">
      <c r="U447" s="261"/>
    </row>
    <row r="448" ht="12.75">
      <c r="U448" s="261"/>
    </row>
    <row r="449" ht="12.75">
      <c r="U449" s="261"/>
    </row>
    <row r="450" ht="12.75">
      <c r="U450" s="261"/>
    </row>
    <row r="451" ht="12.75">
      <c r="U451" s="261"/>
    </row>
    <row r="452" ht="12.75">
      <c r="U452" s="261"/>
    </row>
    <row r="453" ht="12.75">
      <c r="U453" s="261"/>
    </row>
    <row r="454" ht="12.75">
      <c r="U454" s="261"/>
    </row>
    <row r="455" ht="12.75">
      <c r="U455" s="261"/>
    </row>
    <row r="456" ht="12.75">
      <c r="U456" s="261"/>
    </row>
    <row r="457" ht="12.75">
      <c r="U457" s="261"/>
    </row>
    <row r="458" ht="12.75">
      <c r="U458" s="261"/>
    </row>
    <row r="459" ht="12.75">
      <c r="U459" s="261"/>
    </row>
    <row r="460" ht="12.75">
      <c r="U460" s="261"/>
    </row>
    <row r="461" ht="12.75">
      <c r="U461" s="261"/>
    </row>
    <row r="462" ht="12.75">
      <c r="U462" s="261"/>
    </row>
    <row r="463" ht="12.75">
      <c r="U463" s="261"/>
    </row>
    <row r="464" ht="12.75">
      <c r="U464" s="261"/>
    </row>
    <row r="465" ht="12.75">
      <c r="U465" s="261"/>
    </row>
    <row r="466" ht="12.75">
      <c r="U466" s="261"/>
    </row>
    <row r="467" ht="12.75">
      <c r="U467" s="261"/>
    </row>
    <row r="468" ht="12.75">
      <c r="U468" s="261"/>
    </row>
    <row r="469" ht="12.75">
      <c r="U469" s="261"/>
    </row>
    <row r="470" ht="12.75">
      <c r="U470" s="261"/>
    </row>
    <row r="471" ht="12.75">
      <c r="U471" s="261"/>
    </row>
    <row r="472" ht="12.75">
      <c r="U472" s="261"/>
    </row>
    <row r="473" ht="12.75">
      <c r="U473" s="261"/>
    </row>
    <row r="474" ht="12.75">
      <c r="U474" s="261"/>
    </row>
    <row r="475" ht="12.75">
      <c r="U475" s="261"/>
    </row>
    <row r="476" ht="12.75">
      <c r="U476" s="261"/>
    </row>
    <row r="477" ht="12.75">
      <c r="U477" s="261"/>
    </row>
    <row r="478" ht="12.75">
      <c r="U478" s="261"/>
    </row>
    <row r="480" ht="12.75">
      <c r="U480" s="261"/>
    </row>
    <row r="481" ht="12.75">
      <c r="U481" s="261"/>
    </row>
    <row r="482" ht="12.75">
      <c r="U482" s="261"/>
    </row>
    <row r="483" ht="12.75">
      <c r="U483" s="261"/>
    </row>
    <row r="484" ht="12.75">
      <c r="U484" s="261"/>
    </row>
    <row r="485" ht="12.75">
      <c r="U485" s="261"/>
    </row>
    <row r="486" ht="12.75">
      <c r="U486" s="261"/>
    </row>
    <row r="487" ht="12.75">
      <c r="U487" s="261"/>
    </row>
    <row r="488" ht="12.75">
      <c r="U488" s="261"/>
    </row>
    <row r="489" ht="12.75">
      <c r="U489" s="261"/>
    </row>
    <row r="490" ht="6.75" customHeight="1">
      <c r="U490" s="261"/>
    </row>
    <row r="491" ht="12.75">
      <c r="U491" s="261"/>
    </row>
    <row r="492" ht="12.75">
      <c r="U492" s="261"/>
    </row>
    <row r="493" ht="12.75">
      <c r="U493" s="261"/>
    </row>
    <row r="494" ht="12.75">
      <c r="U494" s="261"/>
    </row>
    <row r="495" ht="12.75">
      <c r="U495" s="261"/>
    </row>
    <row r="496" ht="12.75">
      <c r="U496" s="261"/>
    </row>
    <row r="497" ht="12.75">
      <c r="U497" s="261"/>
    </row>
    <row r="498" ht="12.75">
      <c r="U498" s="261"/>
    </row>
    <row r="499" ht="12.75">
      <c r="U499" s="261"/>
    </row>
    <row r="500" ht="12.75">
      <c r="U500" s="261"/>
    </row>
    <row r="501" ht="12.75">
      <c r="U501" s="261"/>
    </row>
    <row r="502" ht="12.75">
      <c r="U502" s="261"/>
    </row>
    <row r="503" ht="12.75">
      <c r="U503" s="261"/>
    </row>
    <row r="504" ht="12.75">
      <c r="U504" s="261"/>
    </row>
    <row r="505" ht="12.75">
      <c r="U505" s="261"/>
    </row>
    <row r="506" ht="12.75">
      <c r="U506" s="261"/>
    </row>
    <row r="507" ht="12.75">
      <c r="U507" s="261"/>
    </row>
    <row r="508" ht="12.75">
      <c r="U508" s="261"/>
    </row>
    <row r="509" ht="12.75">
      <c r="U509" s="261"/>
    </row>
    <row r="510" ht="12.75">
      <c r="U510" s="261"/>
    </row>
    <row r="511" ht="12.75">
      <c r="U511" s="261"/>
    </row>
    <row r="512" ht="12.75">
      <c r="U512" s="261"/>
    </row>
    <row r="513" ht="12.75">
      <c r="U513" s="261"/>
    </row>
    <row r="514" ht="12.75">
      <c r="U514" s="261"/>
    </row>
    <row r="515" ht="12.75">
      <c r="U515" s="261"/>
    </row>
    <row r="516" ht="12.75">
      <c r="U516" s="261"/>
    </row>
    <row r="517" ht="12.75">
      <c r="U517" s="261"/>
    </row>
    <row r="518" ht="12.75">
      <c r="U518" s="261"/>
    </row>
    <row r="519" ht="12.75">
      <c r="U519" s="261"/>
    </row>
    <row r="520" ht="12.75">
      <c r="U520" s="261"/>
    </row>
    <row r="521" ht="12.75">
      <c r="U521" s="261"/>
    </row>
    <row r="522" ht="12.75">
      <c r="U522" s="261"/>
    </row>
    <row r="523" ht="6.75" customHeight="1"/>
    <row r="524" ht="12.75">
      <c r="U524" s="261"/>
    </row>
    <row r="525" ht="12.75">
      <c r="U525" s="261"/>
    </row>
    <row r="526" ht="12.75">
      <c r="U526" s="261"/>
    </row>
    <row r="527" ht="12.75">
      <c r="U527" s="261"/>
    </row>
    <row r="528" ht="12.75">
      <c r="U528" s="261"/>
    </row>
    <row r="529" ht="12.75">
      <c r="U529" s="261"/>
    </row>
    <row r="530" ht="12.75">
      <c r="U530" s="261"/>
    </row>
    <row r="531" ht="12.75">
      <c r="U531" s="261"/>
    </row>
    <row r="532" ht="12.75">
      <c r="U532" s="261"/>
    </row>
    <row r="533" ht="12.75">
      <c r="U533" s="261"/>
    </row>
    <row r="534" ht="12.75">
      <c r="U534" s="261"/>
    </row>
    <row r="535" ht="12.75">
      <c r="U535" s="261"/>
    </row>
    <row r="536" ht="12.75">
      <c r="U536" s="261"/>
    </row>
    <row r="537" ht="12.75">
      <c r="U537" s="261"/>
    </row>
    <row r="538" ht="12.75">
      <c r="U538" s="261"/>
    </row>
    <row r="539" ht="12.75">
      <c r="U539" s="261"/>
    </row>
    <row r="540" ht="12.75">
      <c r="U540" s="261"/>
    </row>
    <row r="541" ht="12.75">
      <c r="U541" s="261"/>
    </row>
    <row r="542" ht="12.75">
      <c r="U542" s="261"/>
    </row>
    <row r="543" ht="12.75">
      <c r="U543" s="261"/>
    </row>
    <row r="544" ht="12.75">
      <c r="U544" s="261"/>
    </row>
    <row r="545" ht="12.75">
      <c r="U545" s="261"/>
    </row>
    <row r="546" ht="12.75">
      <c r="U546" s="261"/>
    </row>
    <row r="547" ht="12.75">
      <c r="U547" s="261"/>
    </row>
    <row r="548" ht="12.75">
      <c r="U548" s="261"/>
    </row>
    <row r="549" ht="12.75">
      <c r="U549" s="261"/>
    </row>
    <row r="550" ht="12.75">
      <c r="U550" s="261"/>
    </row>
    <row r="551" ht="12.75">
      <c r="U551" s="261"/>
    </row>
    <row r="552" ht="12.75">
      <c r="U552" s="261"/>
    </row>
    <row r="553" ht="12.75">
      <c r="U553" s="261"/>
    </row>
    <row r="554" ht="12.75">
      <c r="U554" s="261"/>
    </row>
    <row r="555" ht="12.75">
      <c r="U555" s="261"/>
    </row>
    <row r="556" ht="12.75">
      <c r="U556" s="261"/>
    </row>
    <row r="557" ht="12.75">
      <c r="U557" s="261"/>
    </row>
    <row r="558" ht="12.75">
      <c r="U558" s="261"/>
    </row>
    <row r="559" ht="12.75">
      <c r="U559" s="261"/>
    </row>
    <row r="560" ht="12.75">
      <c r="U560" s="261"/>
    </row>
    <row r="561" ht="12.75">
      <c r="U561" s="261"/>
    </row>
    <row r="562" ht="12.75">
      <c r="U562" s="261"/>
    </row>
    <row r="563" ht="12.75">
      <c r="U563" s="261"/>
    </row>
    <row r="564" ht="12.75">
      <c r="U564" s="261"/>
    </row>
    <row r="565" ht="12.75">
      <c r="U565" s="261"/>
    </row>
    <row r="566" ht="12.75">
      <c r="U566" s="261"/>
    </row>
    <row r="567" ht="6.75" customHeight="1"/>
    <row r="568" ht="12.75">
      <c r="U568" s="261"/>
    </row>
    <row r="569" ht="12.75">
      <c r="U569" s="261"/>
    </row>
    <row r="570" ht="12.75">
      <c r="U570" s="261"/>
    </row>
    <row r="571" ht="12.75">
      <c r="U571" s="261"/>
    </row>
    <row r="572" ht="12.75">
      <c r="U572" s="261"/>
    </row>
    <row r="573" ht="12.75">
      <c r="U573" s="261"/>
    </row>
    <row r="574" ht="12.75">
      <c r="U574" s="261"/>
    </row>
    <row r="575" ht="12.75">
      <c r="U575" s="261"/>
    </row>
    <row r="576" ht="12.75">
      <c r="U576" s="261"/>
    </row>
    <row r="577" ht="12.75">
      <c r="U577" s="261"/>
    </row>
    <row r="578" ht="12.75">
      <c r="U578" s="261"/>
    </row>
    <row r="579" ht="12.75">
      <c r="U579" s="261"/>
    </row>
    <row r="580" ht="12.75">
      <c r="U580" s="261"/>
    </row>
    <row r="581" ht="12.75">
      <c r="U581" s="261"/>
    </row>
    <row r="582" ht="12.75">
      <c r="U582" s="261"/>
    </row>
    <row r="583" ht="12.75">
      <c r="U583" s="261"/>
    </row>
    <row r="584" ht="12.75">
      <c r="U584" s="261"/>
    </row>
    <row r="585" ht="12.75">
      <c r="U585" s="261"/>
    </row>
    <row r="586" ht="12.75">
      <c r="U586" s="261"/>
    </row>
    <row r="587" ht="12.75">
      <c r="U587" s="261"/>
    </row>
    <row r="588" ht="12.75">
      <c r="U588" s="261"/>
    </row>
    <row r="589" ht="12.75">
      <c r="U589" s="261"/>
    </row>
    <row r="590" ht="12.75">
      <c r="U590" s="261"/>
    </row>
    <row r="591" ht="12.75">
      <c r="U591" s="261"/>
    </row>
    <row r="592" ht="12.75">
      <c r="U592" s="261"/>
    </row>
    <row r="593" ht="12.75">
      <c r="U593" s="261"/>
    </row>
    <row r="594" ht="12.75">
      <c r="U594" s="261"/>
    </row>
    <row r="595" ht="12.75">
      <c r="U595" s="261"/>
    </row>
    <row r="596" ht="12.75">
      <c r="U596" s="261"/>
    </row>
    <row r="597" ht="12.75">
      <c r="U597" s="261"/>
    </row>
    <row r="598" ht="12.75">
      <c r="U598" s="261"/>
    </row>
    <row r="599" ht="12.75">
      <c r="U599" s="261"/>
    </row>
    <row r="600" ht="12.75">
      <c r="U600" s="261"/>
    </row>
    <row r="601" ht="12.75">
      <c r="U601" s="261"/>
    </row>
    <row r="602" ht="12.75">
      <c r="U602" s="261"/>
    </row>
    <row r="603" ht="12.75">
      <c r="U603" s="261"/>
    </row>
    <row r="604" ht="12.75">
      <c r="U604" s="261"/>
    </row>
    <row r="605" ht="12.75">
      <c r="U605" s="261"/>
    </row>
    <row r="606" ht="12.75">
      <c r="U606" s="261"/>
    </row>
    <row r="607" ht="12.75">
      <c r="U607" s="261"/>
    </row>
    <row r="608" ht="12.75">
      <c r="U608" s="261"/>
    </row>
    <row r="609" ht="12.75">
      <c r="U609" s="261"/>
    </row>
    <row r="610" ht="12.75">
      <c r="U610" s="261"/>
    </row>
    <row r="611" ht="6.75" customHeight="1"/>
    <row r="612" ht="12.75">
      <c r="U612" s="261"/>
    </row>
    <row r="613" ht="12.75">
      <c r="U613" s="261"/>
    </row>
    <row r="614" ht="12.75">
      <c r="U614" s="261"/>
    </row>
    <row r="615" ht="12.75">
      <c r="U615" s="261"/>
    </row>
    <row r="616" ht="12.75">
      <c r="U616" s="261"/>
    </row>
    <row r="617" ht="12.75">
      <c r="U617" s="261"/>
    </row>
    <row r="618" ht="12.75">
      <c r="U618" s="261"/>
    </row>
    <row r="619" ht="12.75">
      <c r="U619" s="261"/>
    </row>
    <row r="620" ht="12.75">
      <c r="U620" s="261"/>
    </row>
    <row r="621" ht="12.75">
      <c r="U621" s="261"/>
    </row>
    <row r="622" ht="12.75">
      <c r="U622" s="261"/>
    </row>
    <row r="623" ht="12.75">
      <c r="U623" s="261"/>
    </row>
    <row r="624" ht="12.75">
      <c r="U624" s="261"/>
    </row>
    <row r="625" ht="12.75">
      <c r="U625" s="261"/>
    </row>
    <row r="626" ht="12.75">
      <c r="U626" s="261"/>
    </row>
    <row r="627" ht="12.75">
      <c r="U627" s="261"/>
    </row>
    <row r="628" ht="12.75">
      <c r="U628" s="261"/>
    </row>
    <row r="629" ht="12.75">
      <c r="U629" s="261"/>
    </row>
    <row r="630" ht="12.75">
      <c r="U630" s="261"/>
    </row>
    <row r="631" ht="12.75">
      <c r="U631" s="261"/>
    </row>
    <row r="632" ht="12.75">
      <c r="U632" s="261"/>
    </row>
    <row r="633" ht="12.75">
      <c r="U633" s="261"/>
    </row>
    <row r="634" ht="12.75">
      <c r="U634" s="261"/>
    </row>
    <row r="635" ht="12.75">
      <c r="U635" s="261"/>
    </row>
    <row r="636" ht="12.75">
      <c r="U636" s="261"/>
    </row>
    <row r="637" ht="12.75">
      <c r="U637" s="261"/>
    </row>
    <row r="638" ht="12.75">
      <c r="U638" s="261"/>
    </row>
    <row r="639" ht="12.75">
      <c r="U639" s="261"/>
    </row>
    <row r="640" ht="12.75">
      <c r="U640" s="261"/>
    </row>
    <row r="641" ht="12.75">
      <c r="U641" s="261"/>
    </row>
    <row r="642" ht="12.75">
      <c r="U642" s="261"/>
    </row>
    <row r="643" ht="12.75">
      <c r="U643" s="261"/>
    </row>
    <row r="644" ht="12.75">
      <c r="U644" s="261"/>
    </row>
    <row r="645" ht="12.75">
      <c r="U645" s="261"/>
    </row>
    <row r="646" ht="12.75">
      <c r="U646" s="261"/>
    </row>
    <row r="647" ht="12.75">
      <c r="U647" s="261"/>
    </row>
    <row r="648" ht="12.75">
      <c r="U648" s="261"/>
    </row>
    <row r="649" ht="12.75">
      <c r="U649" s="261"/>
    </row>
    <row r="650" ht="12.75">
      <c r="U650" s="261"/>
    </row>
    <row r="651" ht="12.75">
      <c r="U651" s="261"/>
    </row>
    <row r="652" ht="12.75">
      <c r="U652" s="261"/>
    </row>
    <row r="653" ht="12.75">
      <c r="U653" s="261"/>
    </row>
    <row r="654" ht="12.75">
      <c r="U654" s="261"/>
    </row>
    <row r="655" ht="6.75" customHeight="1"/>
    <row r="656" ht="12.75">
      <c r="U656" s="261"/>
    </row>
    <row r="657" ht="12.75">
      <c r="U657" s="261"/>
    </row>
    <row r="658" ht="12.75">
      <c r="U658" s="261"/>
    </row>
    <row r="659" ht="12.75">
      <c r="U659" s="261"/>
    </row>
    <row r="660" ht="12.75">
      <c r="U660" s="261"/>
    </row>
    <row r="661" ht="12.75">
      <c r="U661" s="261"/>
    </row>
    <row r="662" ht="12.75">
      <c r="U662" s="261"/>
    </row>
    <row r="663" ht="12.75">
      <c r="U663" s="261"/>
    </row>
    <row r="664" ht="12.75">
      <c r="U664" s="261"/>
    </row>
    <row r="665" ht="12.75">
      <c r="U665" s="261"/>
    </row>
    <row r="666" ht="12.75">
      <c r="U666" s="261"/>
    </row>
    <row r="667" ht="12.75">
      <c r="U667" s="261"/>
    </row>
    <row r="668" ht="12.75">
      <c r="U668" s="261"/>
    </row>
    <row r="669" ht="12.75">
      <c r="U669" s="261"/>
    </row>
    <row r="670" ht="12.75">
      <c r="U670" s="261"/>
    </row>
    <row r="671" ht="12.75">
      <c r="U671" s="261"/>
    </row>
    <row r="672" ht="12.75">
      <c r="U672" s="261"/>
    </row>
    <row r="673" ht="12.75">
      <c r="U673" s="261"/>
    </row>
    <row r="674" ht="12.75">
      <c r="U674" s="261"/>
    </row>
    <row r="675" ht="12.75">
      <c r="U675" s="261"/>
    </row>
    <row r="676" ht="12.75">
      <c r="U676" s="261"/>
    </row>
    <row r="677" ht="12.75">
      <c r="U677" s="261"/>
    </row>
    <row r="678" ht="12.75">
      <c r="U678" s="261"/>
    </row>
    <row r="679" ht="12.75">
      <c r="U679" s="261"/>
    </row>
    <row r="680" ht="12.75">
      <c r="U680" s="261"/>
    </row>
    <row r="681" ht="12.75">
      <c r="U681" s="261"/>
    </row>
    <row r="682" ht="12.75">
      <c r="U682" s="261"/>
    </row>
    <row r="683" ht="12.75">
      <c r="U683" s="261"/>
    </row>
    <row r="684" ht="12.75">
      <c r="U684" s="261"/>
    </row>
    <row r="685" ht="12.75">
      <c r="U685" s="261"/>
    </row>
    <row r="686" ht="12.75">
      <c r="U686" s="261"/>
    </row>
    <row r="687" ht="12.75">
      <c r="U687" s="261"/>
    </row>
    <row r="688" ht="12.75">
      <c r="U688" s="261"/>
    </row>
    <row r="689" ht="12.75">
      <c r="U689" s="261"/>
    </row>
    <row r="690" ht="12.75">
      <c r="U690" s="261"/>
    </row>
    <row r="691" ht="12.75">
      <c r="U691" s="261"/>
    </row>
    <row r="692" ht="12.75">
      <c r="U692" s="261"/>
    </row>
    <row r="693" ht="12.75">
      <c r="U693" s="261"/>
    </row>
    <row r="694" ht="12.75">
      <c r="U694" s="261"/>
    </row>
    <row r="695" ht="12.75">
      <c r="U695" s="261"/>
    </row>
    <row r="696" ht="12.75">
      <c r="U696" s="261"/>
    </row>
    <row r="697" ht="12.75">
      <c r="U697" s="261"/>
    </row>
    <row r="698" ht="12.75">
      <c r="U698" s="261"/>
    </row>
    <row r="699" ht="6.75" customHeight="1"/>
    <row r="700" ht="12.75">
      <c r="U700" s="261"/>
    </row>
    <row r="701" ht="12.75">
      <c r="U701" s="261"/>
    </row>
    <row r="702" ht="12.75">
      <c r="U702" s="261"/>
    </row>
    <row r="703" ht="12.75">
      <c r="U703" s="261"/>
    </row>
    <row r="704" ht="12.75">
      <c r="U704" s="261"/>
    </row>
    <row r="705" ht="12.75">
      <c r="U705" s="261"/>
    </row>
    <row r="706" ht="12.75">
      <c r="U706" s="261"/>
    </row>
    <row r="707" ht="12.75">
      <c r="U707" s="261"/>
    </row>
    <row r="708" ht="12.75">
      <c r="U708" s="261"/>
    </row>
    <row r="709" ht="12.75">
      <c r="U709" s="261"/>
    </row>
    <row r="710" ht="12.75">
      <c r="U710" s="261"/>
    </row>
    <row r="711" ht="12.75">
      <c r="U711" s="261"/>
    </row>
    <row r="712" ht="12.75">
      <c r="U712" s="261"/>
    </row>
    <row r="713" ht="12.75">
      <c r="U713" s="261"/>
    </row>
    <row r="714" ht="12.75">
      <c r="U714" s="261"/>
    </row>
    <row r="715" ht="12.75">
      <c r="U715" s="261"/>
    </row>
    <row r="716" ht="12.75">
      <c r="U716" s="261"/>
    </row>
    <row r="717" ht="12.75">
      <c r="U717" s="261"/>
    </row>
    <row r="718" ht="12.75">
      <c r="U718" s="261"/>
    </row>
    <row r="719" ht="12.75">
      <c r="U719" s="261"/>
    </row>
    <row r="720" ht="12.75">
      <c r="U720" s="261"/>
    </row>
    <row r="721" ht="12.75">
      <c r="U721" s="261"/>
    </row>
    <row r="722" ht="12.75">
      <c r="U722" s="261"/>
    </row>
    <row r="723" ht="12.75">
      <c r="U723" s="261"/>
    </row>
    <row r="724" ht="12.75">
      <c r="U724" s="261"/>
    </row>
    <row r="725" ht="12.75">
      <c r="U725" s="261"/>
    </row>
    <row r="726" ht="12.75">
      <c r="U726" s="261"/>
    </row>
    <row r="727" ht="12.75">
      <c r="U727" s="261"/>
    </row>
    <row r="728" ht="12.75">
      <c r="U728" s="261"/>
    </row>
    <row r="729" ht="12.75">
      <c r="U729" s="261"/>
    </row>
    <row r="730" ht="12.75">
      <c r="U730" s="261"/>
    </row>
    <row r="731" ht="12.75">
      <c r="U731" s="261"/>
    </row>
    <row r="732" ht="12.75">
      <c r="U732" s="261"/>
    </row>
    <row r="733" ht="12.75">
      <c r="U733" s="261"/>
    </row>
    <row r="734" ht="12.75">
      <c r="U734" s="261"/>
    </row>
    <row r="735" ht="12.75">
      <c r="U735" s="261"/>
    </row>
    <row r="736" ht="12.75">
      <c r="U736" s="261"/>
    </row>
    <row r="737" ht="12.75">
      <c r="U737" s="261"/>
    </row>
    <row r="738" ht="12.75">
      <c r="U738" s="261"/>
    </row>
    <row r="739" ht="12.75">
      <c r="U739" s="261"/>
    </row>
    <row r="740" ht="12.75">
      <c r="U740" s="261"/>
    </row>
    <row r="741" ht="12.75">
      <c r="U741" s="261"/>
    </row>
    <row r="742" ht="12.75">
      <c r="U742" s="261"/>
    </row>
    <row r="743" ht="6.75" customHeight="1"/>
    <row r="744" ht="12.75">
      <c r="U744" s="261"/>
    </row>
    <row r="745" ht="12.75">
      <c r="U745" s="261"/>
    </row>
    <row r="746" ht="12.75">
      <c r="U746" s="261"/>
    </row>
    <row r="747" ht="12.75">
      <c r="U747" s="261"/>
    </row>
    <row r="748" ht="12.75">
      <c r="U748" s="261"/>
    </row>
    <row r="749" ht="12.75">
      <c r="U749" s="261"/>
    </row>
    <row r="750" ht="12.75">
      <c r="U750" s="261"/>
    </row>
    <row r="751" ht="12.75">
      <c r="U751" s="261"/>
    </row>
    <row r="752" ht="12.75">
      <c r="U752" s="261"/>
    </row>
    <row r="753" ht="12.75">
      <c r="U753" s="261"/>
    </row>
    <row r="754" ht="12.75">
      <c r="U754" s="261"/>
    </row>
    <row r="755" ht="12.75">
      <c r="U755" s="261"/>
    </row>
    <row r="756" ht="12.75">
      <c r="U756" s="261"/>
    </row>
    <row r="757" ht="12.75">
      <c r="U757" s="261"/>
    </row>
    <row r="758" ht="12.75">
      <c r="U758" s="261"/>
    </row>
    <row r="759" ht="12.75">
      <c r="U759" s="261"/>
    </row>
    <row r="760" ht="12.75">
      <c r="U760" s="261"/>
    </row>
    <row r="761" ht="12.75">
      <c r="U761" s="261"/>
    </row>
    <row r="762" ht="12.75">
      <c r="U762" s="261"/>
    </row>
    <row r="763" ht="12.75">
      <c r="U763" s="261"/>
    </row>
    <row r="764" ht="12.75">
      <c r="U764" s="261"/>
    </row>
    <row r="765" ht="12.75">
      <c r="U765" s="261"/>
    </row>
    <row r="766" ht="12.75">
      <c r="U766" s="261"/>
    </row>
    <row r="767" ht="12.75">
      <c r="U767" s="261"/>
    </row>
    <row r="768" ht="12.75">
      <c r="U768" s="261"/>
    </row>
    <row r="769" ht="12.75">
      <c r="U769" s="261"/>
    </row>
    <row r="770" ht="12.75">
      <c r="U770" s="261"/>
    </row>
    <row r="771" ht="12.75">
      <c r="U771" s="261"/>
    </row>
    <row r="772" ht="12.75">
      <c r="U772" s="261"/>
    </row>
    <row r="773" ht="12.75">
      <c r="U773" s="261"/>
    </row>
    <row r="774" ht="12.75">
      <c r="U774" s="261"/>
    </row>
    <row r="775" ht="12.75">
      <c r="U775" s="261"/>
    </row>
    <row r="776" ht="12.75">
      <c r="U776" s="261"/>
    </row>
    <row r="777" ht="12.75">
      <c r="U777" s="261"/>
    </row>
    <row r="778" ht="12.75">
      <c r="U778" s="261"/>
    </row>
    <row r="779" ht="12.75">
      <c r="U779" s="261"/>
    </row>
    <row r="780" ht="12.75">
      <c r="U780" s="261"/>
    </row>
    <row r="781" ht="12.75">
      <c r="U781" s="261"/>
    </row>
    <row r="782" ht="12.75">
      <c r="U782" s="261"/>
    </row>
    <row r="783" ht="12.75">
      <c r="U783" s="261"/>
    </row>
    <row r="784" ht="12.75">
      <c r="U784" s="261"/>
    </row>
    <row r="785" ht="12.75">
      <c r="U785" s="261"/>
    </row>
    <row r="786" ht="12.75">
      <c r="U786" s="261"/>
    </row>
    <row r="787" ht="6.75" customHeight="1"/>
    <row r="788" ht="12.75">
      <c r="U788" s="261"/>
    </row>
    <row r="789" ht="12.75">
      <c r="U789" s="261"/>
    </row>
    <row r="790" ht="12.75">
      <c r="U790" s="261"/>
    </row>
    <row r="791" ht="12.75">
      <c r="U791" s="261"/>
    </row>
    <row r="792" ht="12.75">
      <c r="U792" s="261"/>
    </row>
    <row r="793" ht="12.75">
      <c r="U793" s="261"/>
    </row>
    <row r="794" ht="12.75">
      <c r="U794" s="261"/>
    </row>
    <row r="795" ht="12.75">
      <c r="U795" s="261"/>
    </row>
    <row r="796" ht="12.75">
      <c r="U796" s="261"/>
    </row>
    <row r="797" ht="12.75">
      <c r="U797" s="261"/>
    </row>
    <row r="798" ht="12.75">
      <c r="U798" s="261"/>
    </row>
    <row r="799" ht="12.75">
      <c r="U799" s="261"/>
    </row>
    <row r="800" ht="12.75">
      <c r="U800" s="261"/>
    </row>
    <row r="801" ht="12.75">
      <c r="U801" s="261"/>
    </row>
    <row r="802" ht="12.75">
      <c r="U802" s="261"/>
    </row>
    <row r="803" ht="12.75">
      <c r="U803" s="261"/>
    </row>
    <row r="804" ht="12.75">
      <c r="U804" s="261"/>
    </row>
    <row r="805" ht="12.75">
      <c r="U805" s="261"/>
    </row>
    <row r="806" ht="12.75">
      <c r="U806" s="261"/>
    </row>
    <row r="807" ht="12.75">
      <c r="U807" s="261"/>
    </row>
    <row r="808" ht="12.75">
      <c r="U808" s="261"/>
    </row>
    <row r="809" ht="12.75">
      <c r="U809" s="261"/>
    </row>
    <row r="810" ht="12.75">
      <c r="U810" s="261"/>
    </row>
    <row r="811" ht="12.75">
      <c r="U811" s="261"/>
    </row>
    <row r="812" ht="12.75">
      <c r="U812" s="261"/>
    </row>
    <row r="813" ht="12.75">
      <c r="U813" s="261"/>
    </row>
    <row r="814" ht="12.75">
      <c r="U814" s="261"/>
    </row>
    <row r="815" ht="12.75">
      <c r="U815" s="261"/>
    </row>
    <row r="816" ht="12.75">
      <c r="U816" s="261"/>
    </row>
    <row r="817" ht="12.75">
      <c r="U817" s="261"/>
    </row>
    <row r="818" ht="12.75">
      <c r="U818" s="261"/>
    </row>
    <row r="819" ht="12.75">
      <c r="U819" s="261"/>
    </row>
    <row r="820" ht="12.75">
      <c r="U820" s="261"/>
    </row>
    <row r="821" ht="12.75">
      <c r="U821" s="261"/>
    </row>
    <row r="822" ht="12.75">
      <c r="U822" s="261"/>
    </row>
    <row r="823" ht="12.75">
      <c r="U823" s="261"/>
    </row>
    <row r="824" ht="12.75">
      <c r="U824" s="261"/>
    </row>
    <row r="825" ht="12.75">
      <c r="U825" s="261"/>
    </row>
    <row r="826" ht="12.75">
      <c r="U826" s="261"/>
    </row>
    <row r="827" ht="12.75">
      <c r="U827" s="261"/>
    </row>
    <row r="828" ht="12.75">
      <c r="U828" s="261"/>
    </row>
    <row r="829" ht="12.75">
      <c r="U829" s="261"/>
    </row>
    <row r="830" ht="12.75">
      <c r="U830" s="261"/>
    </row>
    <row r="831" ht="6.75" customHeight="1"/>
    <row r="832" ht="12.75">
      <c r="U832" s="261"/>
    </row>
    <row r="833" ht="12.75">
      <c r="U833" s="261"/>
    </row>
    <row r="834" ht="12.75">
      <c r="U834" s="261"/>
    </row>
    <row r="835" ht="12.75">
      <c r="U835" s="261"/>
    </row>
    <row r="836" ht="12.75">
      <c r="U836" s="261"/>
    </row>
    <row r="837" ht="12.75">
      <c r="U837" s="261"/>
    </row>
    <row r="838" ht="12.75">
      <c r="U838" s="261"/>
    </row>
    <row r="839" ht="12.75">
      <c r="U839" s="261"/>
    </row>
    <row r="840" ht="12.75">
      <c r="U840" s="261"/>
    </row>
    <row r="841" ht="12.75">
      <c r="U841" s="261"/>
    </row>
    <row r="842" ht="12.75">
      <c r="U842" s="261"/>
    </row>
    <row r="843" ht="12.75">
      <c r="U843" s="261"/>
    </row>
    <row r="844" ht="12.75">
      <c r="U844" s="261"/>
    </row>
    <row r="845" ht="12.75">
      <c r="U845" s="261"/>
    </row>
    <row r="846" ht="12.75">
      <c r="U846" s="261"/>
    </row>
    <row r="847" ht="12.75">
      <c r="U847" s="261"/>
    </row>
    <row r="848" ht="12.75">
      <c r="U848" s="261"/>
    </row>
    <row r="849" ht="12.75">
      <c r="U849" s="261"/>
    </row>
    <row r="850" ht="12.75">
      <c r="U850" s="261"/>
    </row>
    <row r="851" ht="12.75">
      <c r="U851" s="261"/>
    </row>
    <row r="852" ht="12.75">
      <c r="U852" s="261"/>
    </row>
    <row r="853" ht="12.75">
      <c r="U853" s="261"/>
    </row>
    <row r="854" ht="12.75">
      <c r="U854" s="261"/>
    </row>
    <row r="855" ht="12.75">
      <c r="U855" s="261"/>
    </row>
    <row r="856" ht="12.75">
      <c r="U856" s="261"/>
    </row>
    <row r="857" ht="12.75">
      <c r="U857" s="261"/>
    </row>
    <row r="858" ht="12.75">
      <c r="U858" s="261"/>
    </row>
    <row r="859" ht="12.75">
      <c r="U859" s="261"/>
    </row>
    <row r="860" ht="12.75">
      <c r="U860" s="261"/>
    </row>
    <row r="861" ht="12.75">
      <c r="U861" s="261"/>
    </row>
    <row r="862" ht="12.75">
      <c r="U862" s="261"/>
    </row>
    <row r="863" ht="12.75">
      <c r="U863" s="261"/>
    </row>
    <row r="864" ht="12.75">
      <c r="U864" s="261"/>
    </row>
    <row r="865" ht="12.75">
      <c r="U865" s="261"/>
    </row>
    <row r="866" ht="12.75">
      <c r="U866" s="261"/>
    </row>
    <row r="867" ht="12.75">
      <c r="U867" s="261"/>
    </row>
    <row r="868" ht="12.75">
      <c r="U868" s="261"/>
    </row>
    <row r="869" ht="12.75">
      <c r="U869" s="261"/>
    </row>
    <row r="870" ht="12.75">
      <c r="U870" s="261"/>
    </row>
    <row r="871" ht="12.75">
      <c r="U871" s="261"/>
    </row>
    <row r="872" ht="12.75">
      <c r="U872" s="261"/>
    </row>
    <row r="873" ht="12.75">
      <c r="U873" s="261"/>
    </row>
    <row r="874" ht="12.75">
      <c r="U874" s="261"/>
    </row>
    <row r="875" ht="6.75" customHeight="1"/>
    <row r="876" ht="12.75">
      <c r="U876" s="261"/>
    </row>
    <row r="877" ht="12.75">
      <c r="U877" s="261"/>
    </row>
    <row r="878" ht="12.75">
      <c r="U878" s="261"/>
    </row>
    <row r="879" ht="12.75">
      <c r="U879" s="261"/>
    </row>
    <row r="880" ht="12.75">
      <c r="U880" s="261"/>
    </row>
    <row r="881" ht="12.75">
      <c r="U881" s="261"/>
    </row>
    <row r="882" ht="12.75">
      <c r="U882" s="261"/>
    </row>
    <row r="883" ht="12.75">
      <c r="U883" s="261"/>
    </row>
    <row r="884" ht="12.75">
      <c r="U884" s="261"/>
    </row>
    <row r="885" ht="12.75">
      <c r="U885" s="261"/>
    </row>
    <row r="886" ht="12.75">
      <c r="U886" s="261"/>
    </row>
    <row r="887" ht="12.75">
      <c r="U887" s="261"/>
    </row>
    <row r="888" ht="12.75">
      <c r="U888" s="261"/>
    </row>
    <row r="889" ht="12.75">
      <c r="U889" s="261"/>
    </row>
    <row r="890" ht="12.75">
      <c r="U890" s="261"/>
    </row>
    <row r="891" ht="12.75">
      <c r="U891" s="261"/>
    </row>
    <row r="892" ht="12.75">
      <c r="U892" s="261"/>
    </row>
    <row r="893" ht="12.75">
      <c r="U893" s="261"/>
    </row>
    <row r="894" ht="12.75">
      <c r="U894" s="261"/>
    </row>
    <row r="895" ht="12.75">
      <c r="U895" s="261"/>
    </row>
    <row r="896" ht="12.75">
      <c r="U896" s="261"/>
    </row>
    <row r="897" ht="12.75">
      <c r="U897" s="261"/>
    </row>
    <row r="898" ht="12.75">
      <c r="U898" s="261"/>
    </row>
    <row r="899" ht="12.75">
      <c r="U899" s="261"/>
    </row>
    <row r="900" ht="12.75">
      <c r="U900" s="261"/>
    </row>
    <row r="901" ht="12.75">
      <c r="U901" s="261"/>
    </row>
    <row r="902" ht="12.75">
      <c r="U902" s="261"/>
    </row>
    <row r="903" ht="12.75">
      <c r="U903" s="261"/>
    </row>
    <row r="904" ht="12.75">
      <c r="U904" s="261"/>
    </row>
    <row r="905" ht="12.75">
      <c r="U905" s="261"/>
    </row>
    <row r="906" ht="12.75">
      <c r="U906" s="261"/>
    </row>
    <row r="907" ht="12.75">
      <c r="U907" s="261"/>
    </row>
    <row r="908" ht="12.75">
      <c r="U908" s="261"/>
    </row>
    <row r="909" ht="12.75">
      <c r="U909" s="261"/>
    </row>
    <row r="910" ht="12.75">
      <c r="U910" s="261"/>
    </row>
    <row r="911" ht="12.75">
      <c r="U911" s="261"/>
    </row>
    <row r="912" ht="12.75">
      <c r="U912" s="261"/>
    </row>
    <row r="913" ht="12.75">
      <c r="U913" s="261"/>
    </row>
    <row r="914" ht="12.75">
      <c r="U914" s="261"/>
    </row>
    <row r="915" ht="12.75">
      <c r="U915" s="261"/>
    </row>
    <row r="916" ht="12.75">
      <c r="U916" s="261"/>
    </row>
    <row r="917" ht="12.75">
      <c r="U917" s="261"/>
    </row>
    <row r="918" ht="12.75">
      <c r="U918" s="261"/>
    </row>
    <row r="919" ht="6.75" customHeight="1"/>
    <row r="920" ht="12.75">
      <c r="U920" s="261"/>
    </row>
    <row r="921" ht="12.75">
      <c r="U921" s="261"/>
    </row>
    <row r="922" ht="12.75">
      <c r="U922" s="261"/>
    </row>
    <row r="923" ht="12.75">
      <c r="U923" s="261"/>
    </row>
    <row r="924" ht="12.75">
      <c r="U924" s="261"/>
    </row>
    <row r="925" ht="12.75">
      <c r="U925" s="261"/>
    </row>
    <row r="926" ht="12.75">
      <c r="U926" s="261"/>
    </row>
    <row r="927" ht="12.75">
      <c r="U927" s="261"/>
    </row>
    <row r="928" ht="12.75">
      <c r="U928" s="261"/>
    </row>
    <row r="929" ht="12.75">
      <c r="U929" s="261"/>
    </row>
  </sheetData>
  <sheetProtection/>
  <mergeCells count="575">
    <mergeCell ref="P42:Q42"/>
    <mergeCell ref="R42:U42"/>
    <mergeCell ref="P32:Q32"/>
    <mergeCell ref="R4:U4"/>
    <mergeCell ref="R36:U36"/>
    <mergeCell ref="R30:U30"/>
    <mergeCell ref="P29:Q29"/>
    <mergeCell ref="R33:U33"/>
    <mergeCell ref="P38:Q38"/>
    <mergeCell ref="R37:U37"/>
    <mergeCell ref="P37:Q37"/>
    <mergeCell ref="P30:Q30"/>
    <mergeCell ref="P36:Q36"/>
    <mergeCell ref="R24:U24"/>
    <mergeCell ref="R35:U35"/>
    <mergeCell ref="P33:Q33"/>
    <mergeCell ref="P26:Q26"/>
    <mergeCell ref="P35:Q35"/>
    <mergeCell ref="R31:U31"/>
    <mergeCell ref="R32:U32"/>
    <mergeCell ref="O1:U1"/>
    <mergeCell ref="R2:U2"/>
    <mergeCell ref="R3:U3"/>
    <mergeCell ref="R8:U8"/>
    <mergeCell ref="R5:U5"/>
    <mergeCell ref="K1:N1"/>
    <mergeCell ref="P6:Q6"/>
    <mergeCell ref="R6:U6"/>
    <mergeCell ref="R7:U7"/>
    <mergeCell ref="P4:Q4"/>
    <mergeCell ref="K24:N24"/>
    <mergeCell ref="K22:N22"/>
    <mergeCell ref="K20:N20"/>
    <mergeCell ref="K23:N23"/>
    <mergeCell ref="P7:Q7"/>
    <mergeCell ref="K12:N12"/>
    <mergeCell ref="K13:N13"/>
    <mergeCell ref="K17:N17"/>
    <mergeCell ref="P23:Q23"/>
    <mergeCell ref="P22:Q22"/>
    <mergeCell ref="K28:N28"/>
    <mergeCell ref="K33:N33"/>
    <mergeCell ref="P8:Q8"/>
    <mergeCell ref="J89:L89"/>
    <mergeCell ref="G98:I98"/>
    <mergeCell ref="J98:L98"/>
    <mergeCell ref="J92:L92"/>
    <mergeCell ref="G90:I90"/>
    <mergeCell ref="K10:N10"/>
    <mergeCell ref="K25:N25"/>
    <mergeCell ref="K27:N27"/>
    <mergeCell ref="K15:N15"/>
    <mergeCell ref="K14:N14"/>
    <mergeCell ref="G102:I102"/>
    <mergeCell ref="I40:J40"/>
    <mergeCell ref="F39:H39"/>
    <mergeCell ref="M92:O92"/>
    <mergeCell ref="D100:F100"/>
    <mergeCell ref="D98:F98"/>
    <mergeCell ref="D96:F96"/>
    <mergeCell ref="J103:L103"/>
    <mergeCell ref="O57:U58"/>
    <mergeCell ref="O59:U60"/>
    <mergeCell ref="G101:I101"/>
    <mergeCell ref="J101:L101"/>
    <mergeCell ref="G99:I99"/>
    <mergeCell ref="J99:L99"/>
    <mergeCell ref="J91:L91"/>
    <mergeCell ref="M99:O99"/>
    <mergeCell ref="P99:R99"/>
    <mergeCell ref="M98:O98"/>
    <mergeCell ref="G94:I94"/>
    <mergeCell ref="J94:L94"/>
    <mergeCell ref="G97:I97"/>
    <mergeCell ref="J105:L105"/>
    <mergeCell ref="M105:O105"/>
    <mergeCell ref="G104:I104"/>
    <mergeCell ref="J104:L104"/>
    <mergeCell ref="M104:O104"/>
    <mergeCell ref="M103:O103"/>
    <mergeCell ref="G96:I96"/>
    <mergeCell ref="J96:L96"/>
    <mergeCell ref="J97:L97"/>
    <mergeCell ref="M97:O97"/>
    <mergeCell ref="J93:L93"/>
    <mergeCell ref="P94:R94"/>
    <mergeCell ref="G95:I95"/>
    <mergeCell ref="M93:O93"/>
    <mergeCell ref="M94:O94"/>
    <mergeCell ref="S103:T103"/>
    <mergeCell ref="S104:T104"/>
    <mergeCell ref="S105:T105"/>
    <mergeCell ref="S94:T94"/>
    <mergeCell ref="S99:T99"/>
    <mergeCell ref="S100:T100"/>
    <mergeCell ref="S101:T101"/>
    <mergeCell ref="S96:T96"/>
    <mergeCell ref="S97:T97"/>
    <mergeCell ref="S98:T98"/>
    <mergeCell ref="S93:T93"/>
    <mergeCell ref="S92:T92"/>
    <mergeCell ref="P90:R90"/>
    <mergeCell ref="P101:R101"/>
    <mergeCell ref="P100:R100"/>
    <mergeCell ref="P96:R96"/>
    <mergeCell ref="P95:R95"/>
    <mergeCell ref="S90:T90"/>
    <mergeCell ref="P97:R97"/>
    <mergeCell ref="P92:R92"/>
    <mergeCell ref="S102:T102"/>
    <mergeCell ref="S95:T95"/>
    <mergeCell ref="P98:R98"/>
    <mergeCell ref="S91:T91"/>
    <mergeCell ref="M96:O96"/>
    <mergeCell ref="J102:L102"/>
    <mergeCell ref="M102:O102"/>
    <mergeCell ref="P102:R102"/>
    <mergeCell ref="J95:L95"/>
    <mergeCell ref="M95:O95"/>
    <mergeCell ref="A101:C101"/>
    <mergeCell ref="P105:R105"/>
    <mergeCell ref="P104:R104"/>
    <mergeCell ref="P103:R103"/>
    <mergeCell ref="M101:O101"/>
    <mergeCell ref="G100:I100"/>
    <mergeCell ref="J100:L100"/>
    <mergeCell ref="M100:O100"/>
    <mergeCell ref="G105:I105"/>
    <mergeCell ref="G103:I103"/>
    <mergeCell ref="A86:C86"/>
    <mergeCell ref="A90:C90"/>
    <mergeCell ref="A89:C89"/>
    <mergeCell ref="A91:C91"/>
    <mergeCell ref="A88:C88"/>
    <mergeCell ref="A87:C87"/>
    <mergeCell ref="A98:C98"/>
    <mergeCell ref="A95:C95"/>
    <mergeCell ref="A99:C99"/>
    <mergeCell ref="D103:F103"/>
    <mergeCell ref="A93:C93"/>
    <mergeCell ref="A92:C92"/>
    <mergeCell ref="A96:C96"/>
    <mergeCell ref="A97:C97"/>
    <mergeCell ref="D97:F97"/>
    <mergeCell ref="A103:C103"/>
    <mergeCell ref="D99:F99"/>
    <mergeCell ref="A115:B115"/>
    <mergeCell ref="A110:B110"/>
    <mergeCell ref="A111:B111"/>
    <mergeCell ref="A112:B112"/>
    <mergeCell ref="A108:B108"/>
    <mergeCell ref="A109:B109"/>
    <mergeCell ref="A113:B113"/>
    <mergeCell ref="A114:B114"/>
    <mergeCell ref="A100:C100"/>
    <mergeCell ref="D95:F95"/>
    <mergeCell ref="D94:F94"/>
    <mergeCell ref="A104:C104"/>
    <mergeCell ref="A105:C105"/>
    <mergeCell ref="D101:F101"/>
    <mergeCell ref="D102:F102"/>
    <mergeCell ref="D104:F104"/>
    <mergeCell ref="D105:F105"/>
    <mergeCell ref="A102:C102"/>
    <mergeCell ref="A94:C94"/>
    <mergeCell ref="G87:I87"/>
    <mergeCell ref="G93:I93"/>
    <mergeCell ref="D90:F90"/>
    <mergeCell ref="D89:F89"/>
    <mergeCell ref="D91:F91"/>
    <mergeCell ref="D88:F88"/>
    <mergeCell ref="D92:F92"/>
    <mergeCell ref="G92:I92"/>
    <mergeCell ref="G91:I91"/>
    <mergeCell ref="G89:I89"/>
    <mergeCell ref="D83:D84"/>
    <mergeCell ref="E83:E84"/>
    <mergeCell ref="F83:F84"/>
    <mergeCell ref="H76:H77"/>
    <mergeCell ref="F81:F82"/>
    <mergeCell ref="A107:T107"/>
    <mergeCell ref="P93:R93"/>
    <mergeCell ref="P91:R91"/>
    <mergeCell ref="G88:I88"/>
    <mergeCell ref="D93:F93"/>
    <mergeCell ref="G86:I86"/>
    <mergeCell ref="S86:T86"/>
    <mergeCell ref="H82:H83"/>
    <mergeCell ref="I82:I83"/>
    <mergeCell ref="H80:H81"/>
    <mergeCell ref="I80:I81"/>
    <mergeCell ref="M86:O86"/>
    <mergeCell ref="J82:J83"/>
    <mergeCell ref="L79:L80"/>
    <mergeCell ref="I78:I79"/>
    <mergeCell ref="O61:U62"/>
    <mergeCell ref="O53:U54"/>
    <mergeCell ref="D87:F87"/>
    <mergeCell ref="P86:R86"/>
    <mergeCell ref="P87:R87"/>
    <mergeCell ref="K79:K80"/>
    <mergeCell ref="M81:M82"/>
    <mergeCell ref="D79:D80"/>
    <mergeCell ref="E79:E80"/>
    <mergeCell ref="D86:F86"/>
    <mergeCell ref="S89:T89"/>
    <mergeCell ref="L71:L72"/>
    <mergeCell ref="M71:M72"/>
    <mergeCell ref="K71:K72"/>
    <mergeCell ref="M77:M78"/>
    <mergeCell ref="M75:M76"/>
    <mergeCell ref="M73:M74"/>
    <mergeCell ref="J88:L88"/>
    <mergeCell ref="S88:T88"/>
    <mergeCell ref="S87:T87"/>
    <mergeCell ref="K75:K76"/>
    <mergeCell ref="M87:O87"/>
    <mergeCell ref="M89:O89"/>
    <mergeCell ref="I76:I77"/>
    <mergeCell ref="J76:J77"/>
    <mergeCell ref="K77:K78"/>
    <mergeCell ref="J74:J75"/>
    <mergeCell ref="K73:K74"/>
    <mergeCell ref="J78:J79"/>
    <mergeCell ref="L75:L76"/>
    <mergeCell ref="J80:J81"/>
    <mergeCell ref="M90:O90"/>
    <mergeCell ref="M88:O88"/>
    <mergeCell ref="O63:U64"/>
    <mergeCell ref="I74:I75"/>
    <mergeCell ref="L81:L82"/>
    <mergeCell ref="P88:R88"/>
    <mergeCell ref="P89:R89"/>
    <mergeCell ref="M79:M80"/>
    <mergeCell ref="L77:L78"/>
    <mergeCell ref="F77:F78"/>
    <mergeCell ref="E77:E78"/>
    <mergeCell ref="H78:H79"/>
    <mergeCell ref="F79:F80"/>
    <mergeCell ref="F71:F72"/>
    <mergeCell ref="M91:O91"/>
    <mergeCell ref="K81:K82"/>
    <mergeCell ref="J90:L90"/>
    <mergeCell ref="J87:L87"/>
    <mergeCell ref="J86:L86"/>
    <mergeCell ref="D77:D78"/>
    <mergeCell ref="D81:D82"/>
    <mergeCell ref="E81:E82"/>
    <mergeCell ref="A72:A73"/>
    <mergeCell ref="E69:E70"/>
    <mergeCell ref="H72:H73"/>
    <mergeCell ref="H74:H75"/>
    <mergeCell ref="F69:F70"/>
    <mergeCell ref="F73:F74"/>
    <mergeCell ref="E75:E76"/>
    <mergeCell ref="B80:B81"/>
    <mergeCell ref="H70:H71"/>
    <mergeCell ref="H68:H69"/>
    <mergeCell ref="C78:C79"/>
    <mergeCell ref="C74:C75"/>
    <mergeCell ref="D75:D76"/>
    <mergeCell ref="D67:D68"/>
    <mergeCell ref="B66:B67"/>
    <mergeCell ref="C68:C69"/>
    <mergeCell ref="D69:D70"/>
    <mergeCell ref="A82:A83"/>
    <mergeCell ref="B82:B83"/>
    <mergeCell ref="C82:C83"/>
    <mergeCell ref="A76:A77"/>
    <mergeCell ref="B76:B77"/>
    <mergeCell ref="C76:C77"/>
    <mergeCell ref="B78:B79"/>
    <mergeCell ref="A78:A79"/>
    <mergeCell ref="A80:A81"/>
    <mergeCell ref="C80:C81"/>
    <mergeCell ref="H58:H59"/>
    <mergeCell ref="E65:E66"/>
    <mergeCell ref="F67:F68"/>
    <mergeCell ref="H60:H61"/>
    <mergeCell ref="F55:F56"/>
    <mergeCell ref="E67:E68"/>
    <mergeCell ref="H64:H65"/>
    <mergeCell ref="H56:H57"/>
    <mergeCell ref="E59:E60"/>
    <mergeCell ref="F57:F58"/>
    <mergeCell ref="C58:C59"/>
    <mergeCell ref="E54:F54"/>
    <mergeCell ref="F59:F60"/>
    <mergeCell ref="D65:D66"/>
    <mergeCell ref="F63:F64"/>
    <mergeCell ref="F65:F66"/>
    <mergeCell ref="E57:E58"/>
    <mergeCell ref="D55:D56"/>
    <mergeCell ref="C54:C55"/>
    <mergeCell ref="E55:E56"/>
    <mergeCell ref="B58:B59"/>
    <mergeCell ref="E63:E64"/>
    <mergeCell ref="D63:D64"/>
    <mergeCell ref="D59:D60"/>
    <mergeCell ref="D61:D62"/>
    <mergeCell ref="D57:D58"/>
    <mergeCell ref="C60:C61"/>
    <mergeCell ref="E61:E62"/>
    <mergeCell ref="C56:C57"/>
    <mergeCell ref="B56:B57"/>
    <mergeCell ref="F1:J1"/>
    <mergeCell ref="F3:J3"/>
    <mergeCell ref="F4:J4"/>
    <mergeCell ref="F8:J8"/>
    <mergeCell ref="F9:J9"/>
    <mergeCell ref="A7:E7"/>
    <mergeCell ref="A1:E1"/>
    <mergeCell ref="A2:E2"/>
    <mergeCell ref="A3:E3"/>
    <mergeCell ref="F2:I2"/>
    <mergeCell ref="A10:J10"/>
    <mergeCell ref="A4:E4"/>
    <mergeCell ref="A5:E5"/>
    <mergeCell ref="F11:J11"/>
    <mergeCell ref="A54:A55"/>
    <mergeCell ref="I39:J39"/>
    <mergeCell ref="H52:H53"/>
    <mergeCell ref="F42:H42"/>
    <mergeCell ref="A6:E6"/>
    <mergeCell ref="A8:E8"/>
    <mergeCell ref="F7:J7"/>
    <mergeCell ref="A9:E9"/>
    <mergeCell ref="A33:E33"/>
    <mergeCell ref="F5:J5"/>
    <mergeCell ref="F6:J6"/>
    <mergeCell ref="A11:E11"/>
    <mergeCell ref="F15:J15"/>
    <mergeCell ref="A25:E25"/>
    <mergeCell ref="F28:H28"/>
    <mergeCell ref="F27:H27"/>
    <mergeCell ref="A41:E41"/>
    <mergeCell ref="F17:J18"/>
    <mergeCell ref="A19:E19"/>
    <mergeCell ref="F40:H40"/>
    <mergeCell ref="A40:E40"/>
    <mergeCell ref="I34:J34"/>
    <mergeCell ref="F34:H34"/>
    <mergeCell ref="A22:E22"/>
    <mergeCell ref="F41:H41"/>
    <mergeCell ref="A24:E24"/>
    <mergeCell ref="F29:H29"/>
    <mergeCell ref="F31:H31"/>
    <mergeCell ref="A38:E38"/>
    <mergeCell ref="E46:H47"/>
    <mergeCell ref="A31:E31"/>
    <mergeCell ref="K32:N32"/>
    <mergeCell ref="K38:N42"/>
    <mergeCell ref="A42:E42"/>
    <mergeCell ref="A34:E34"/>
    <mergeCell ref="A32:E32"/>
    <mergeCell ref="A35:E37"/>
    <mergeCell ref="F35:J37"/>
    <mergeCell ref="A39:E39"/>
    <mergeCell ref="I33:J33"/>
    <mergeCell ref="F32:H32"/>
    <mergeCell ref="K30:N30"/>
    <mergeCell ref="A17:E17"/>
    <mergeCell ref="F13:J13"/>
    <mergeCell ref="F30:H30"/>
    <mergeCell ref="A13:E13"/>
    <mergeCell ref="A14:E14"/>
    <mergeCell ref="K16:N16"/>
    <mergeCell ref="A29:E29"/>
    <mergeCell ref="A30:E30"/>
    <mergeCell ref="I29:J29"/>
    <mergeCell ref="F20:J20"/>
    <mergeCell ref="A58:A59"/>
    <mergeCell ref="L55:L56"/>
    <mergeCell ref="H62:H63"/>
    <mergeCell ref="I62:I63"/>
    <mergeCell ref="I60:I61"/>
    <mergeCell ref="J62:J63"/>
    <mergeCell ref="B62:B63"/>
    <mergeCell ref="A56:A57"/>
    <mergeCell ref="H54:H55"/>
    <mergeCell ref="B54:B55"/>
    <mergeCell ref="A12:E12"/>
    <mergeCell ref="F14:J14"/>
    <mergeCell ref="C66:C67"/>
    <mergeCell ref="A66:A67"/>
    <mergeCell ref="A62:A63"/>
    <mergeCell ref="A60:A61"/>
    <mergeCell ref="I31:J31"/>
    <mergeCell ref="I30:J30"/>
    <mergeCell ref="F33:H33"/>
    <mergeCell ref="I32:J32"/>
    <mergeCell ref="C72:C73"/>
    <mergeCell ref="L69:L70"/>
    <mergeCell ref="L67:L68"/>
    <mergeCell ref="K69:K70"/>
    <mergeCell ref="I68:I69"/>
    <mergeCell ref="L73:L74"/>
    <mergeCell ref="J72:J73"/>
    <mergeCell ref="I72:I73"/>
    <mergeCell ref="J68:J69"/>
    <mergeCell ref="D71:D72"/>
    <mergeCell ref="A68:A69"/>
    <mergeCell ref="B68:B69"/>
    <mergeCell ref="A64:A65"/>
    <mergeCell ref="B64:B65"/>
    <mergeCell ref="C64:C65"/>
    <mergeCell ref="O55:U56"/>
    <mergeCell ref="J60:J61"/>
    <mergeCell ref="I58:I59"/>
    <mergeCell ref="J58:J59"/>
    <mergeCell ref="C62:C63"/>
    <mergeCell ref="A74:A75"/>
    <mergeCell ref="B74:B75"/>
    <mergeCell ref="I70:I71"/>
    <mergeCell ref="A70:A71"/>
    <mergeCell ref="B70:B71"/>
    <mergeCell ref="C70:C71"/>
    <mergeCell ref="B72:B73"/>
    <mergeCell ref="D73:D74"/>
    <mergeCell ref="F75:F76"/>
    <mergeCell ref="E73:E74"/>
    <mergeCell ref="J70:J71"/>
    <mergeCell ref="I64:I65"/>
    <mergeCell ref="F61:F62"/>
    <mergeCell ref="E71:E72"/>
    <mergeCell ref="H66:H67"/>
    <mergeCell ref="I66:I67"/>
    <mergeCell ref="L61:L62"/>
    <mergeCell ref="L63:L64"/>
    <mergeCell ref="M67:M68"/>
    <mergeCell ref="K63:K64"/>
    <mergeCell ref="J56:J57"/>
    <mergeCell ref="J66:J67"/>
    <mergeCell ref="M59:M60"/>
    <mergeCell ref="K67:K68"/>
    <mergeCell ref="J64:J65"/>
    <mergeCell ref="M69:M70"/>
    <mergeCell ref="M63:M64"/>
    <mergeCell ref="M61:M62"/>
    <mergeCell ref="K61:K62"/>
    <mergeCell ref="M55:M56"/>
    <mergeCell ref="B60:B61"/>
    <mergeCell ref="M65:M66"/>
    <mergeCell ref="K65:K66"/>
    <mergeCell ref="L65:L66"/>
    <mergeCell ref="I54:I55"/>
    <mergeCell ref="J54:J55"/>
    <mergeCell ref="I56:I57"/>
    <mergeCell ref="K55:K56"/>
    <mergeCell ref="L57:L58"/>
    <mergeCell ref="L59:L60"/>
    <mergeCell ref="K59:K60"/>
    <mergeCell ref="K57:K58"/>
    <mergeCell ref="L54:M54"/>
    <mergeCell ref="M57:M58"/>
    <mergeCell ref="I41:J41"/>
    <mergeCell ref="F38:J38"/>
    <mergeCell ref="O45:U46"/>
    <mergeCell ref="O47:U48"/>
    <mergeCell ref="A44:M44"/>
    <mergeCell ref="A52:A53"/>
    <mergeCell ref="G48:H48"/>
    <mergeCell ref="O49:U50"/>
    <mergeCell ref="B52:C53"/>
    <mergeCell ref="D52:F53"/>
    <mergeCell ref="K52:M53"/>
    <mergeCell ref="F12:J12"/>
    <mergeCell ref="P14:Q14"/>
    <mergeCell ref="P15:Q15"/>
    <mergeCell ref="P16:Q16"/>
    <mergeCell ref="R38:U38"/>
    <mergeCell ref="P34:Q34"/>
    <mergeCell ref="R34:U34"/>
    <mergeCell ref="I52:J53"/>
    <mergeCell ref="I42:J42"/>
    <mergeCell ref="O51:U52"/>
    <mergeCell ref="O44:U44"/>
    <mergeCell ref="P5:Q5"/>
    <mergeCell ref="P18:Q18"/>
    <mergeCell ref="P41:Q41"/>
    <mergeCell ref="P39:Q39"/>
    <mergeCell ref="R39:U39"/>
    <mergeCell ref="P20:Q20"/>
    <mergeCell ref="R20:U20"/>
    <mergeCell ref="R41:U41"/>
    <mergeCell ref="W41:AB43"/>
    <mergeCell ref="K21:N21"/>
    <mergeCell ref="K29:N29"/>
    <mergeCell ref="K35:N37"/>
    <mergeCell ref="P21:Q21"/>
    <mergeCell ref="P24:Q24"/>
    <mergeCell ref="K31:N31"/>
    <mergeCell ref="R40:U40"/>
    <mergeCell ref="P40:Q40"/>
    <mergeCell ref="R23:U23"/>
    <mergeCell ref="P27:Q27"/>
    <mergeCell ref="P28:Q28"/>
    <mergeCell ref="W16:AB16"/>
    <mergeCell ref="W22:AB26"/>
    <mergeCell ref="W28:AB29"/>
    <mergeCell ref="P25:Q25"/>
    <mergeCell ref="W21:AB21"/>
    <mergeCell ref="R9:U9"/>
    <mergeCell ref="R13:U13"/>
    <mergeCell ref="R27:U27"/>
    <mergeCell ref="R22:U22"/>
    <mergeCell ref="R26:U26"/>
    <mergeCell ref="R29:U29"/>
    <mergeCell ref="R28:U28"/>
    <mergeCell ref="R25:U25"/>
    <mergeCell ref="R10:U10"/>
    <mergeCell ref="P11:Q11"/>
    <mergeCell ref="P12:Q12"/>
    <mergeCell ref="R12:U12"/>
    <mergeCell ref="R15:U15"/>
    <mergeCell ref="R21:U21"/>
    <mergeCell ref="R19:U19"/>
    <mergeCell ref="P13:Q13"/>
    <mergeCell ref="K18:N18"/>
    <mergeCell ref="P9:Q9"/>
    <mergeCell ref="R16:U16"/>
    <mergeCell ref="K11:N11"/>
    <mergeCell ref="K2:N9"/>
    <mergeCell ref="P2:Q2"/>
    <mergeCell ref="R17:U17"/>
    <mergeCell ref="P3:Q3"/>
    <mergeCell ref="R11:U11"/>
    <mergeCell ref="P10:Q10"/>
    <mergeCell ref="W35:AB35"/>
    <mergeCell ref="W40:AB40"/>
    <mergeCell ref="W17:AB17"/>
    <mergeCell ref="W18:AB18"/>
    <mergeCell ref="P17:Q17"/>
    <mergeCell ref="P31:Q31"/>
    <mergeCell ref="W36:AB39"/>
    <mergeCell ref="W30:AB30"/>
    <mergeCell ref="W31:AB34"/>
    <mergeCell ref="W19:AB19"/>
    <mergeCell ref="W1:AB1"/>
    <mergeCell ref="W3:AB3"/>
    <mergeCell ref="W27:AB27"/>
    <mergeCell ref="W7:AB7"/>
    <mergeCell ref="W13:AB15"/>
    <mergeCell ref="W2:AB2"/>
    <mergeCell ref="W8:AB8"/>
    <mergeCell ref="W4:AB4"/>
    <mergeCell ref="W5:AB5"/>
    <mergeCell ref="W6:AB6"/>
    <mergeCell ref="W12:AB12"/>
    <mergeCell ref="W20:AB20"/>
    <mergeCell ref="W9:AB11"/>
    <mergeCell ref="R14:U14"/>
    <mergeCell ref="A15:E15"/>
    <mergeCell ref="A16:E16"/>
    <mergeCell ref="F16:J16"/>
    <mergeCell ref="P19:Q19"/>
    <mergeCell ref="R18:U18"/>
    <mergeCell ref="K19:N19"/>
    <mergeCell ref="F26:H26"/>
    <mergeCell ref="A26:E26"/>
    <mergeCell ref="A27:E27"/>
    <mergeCell ref="A28:E28"/>
    <mergeCell ref="I27:J27"/>
    <mergeCell ref="I26:J26"/>
    <mergeCell ref="I28:J28"/>
    <mergeCell ref="A23:E23"/>
    <mergeCell ref="F19:J19"/>
    <mergeCell ref="F25:H25"/>
    <mergeCell ref="F24:H24"/>
    <mergeCell ref="I24:J24"/>
    <mergeCell ref="F21:J21"/>
    <mergeCell ref="F22:J22"/>
    <mergeCell ref="A20:E20"/>
    <mergeCell ref="A21:E21"/>
    <mergeCell ref="F23:J23"/>
  </mergeCells>
  <printOptions/>
  <pageMargins left="0.25" right="0.25" top="0.5" bottom="0.5" header="0.25" footer="0.25"/>
  <pageSetup horizontalDpi="600" verticalDpi="600" orientation="landscape" r:id="rId1"/>
  <headerFooter alignWithMargins="0">
    <oddFooter>&amp;L&amp;F&amp;C&amp;D&amp;R&amp;A</oddFooter>
  </headerFooter>
  <rowBreaks count="2" manualBreakCount="2">
    <brk id="43" max="20" man="1"/>
    <brk id="85" max="20" man="1"/>
  </rowBreaks>
</worksheet>
</file>

<file path=xl/worksheets/sheet10.xml><?xml version="1.0" encoding="utf-8"?>
<worksheet xmlns="http://schemas.openxmlformats.org/spreadsheetml/2006/main" xmlns:r="http://schemas.openxmlformats.org/officeDocument/2006/relationships">
  <dimension ref="A1:J54"/>
  <sheetViews>
    <sheetView showGridLines="0" showZeros="0" zoomScalePageLayoutView="0" workbookViewId="0" topLeftCell="A1">
      <selection activeCell="R36" sqref="R36"/>
    </sheetView>
  </sheetViews>
  <sheetFormatPr defaultColWidth="9.140625" defaultRowHeight="12.75"/>
  <cols>
    <col min="1" max="1" width="10.140625" style="1" customWidth="1"/>
    <col min="2" max="4" width="9.140625" style="1" customWidth="1"/>
    <col min="5" max="5" width="11.8515625" style="1" customWidth="1"/>
    <col min="6" max="7" width="9.140625" style="1" customWidth="1"/>
    <col min="8" max="8" width="11.8515625" style="1" customWidth="1"/>
    <col min="9" max="10" width="9.140625" style="1" customWidth="1"/>
    <col min="11" max="16384" width="9.140625" style="108" customWidth="1"/>
  </cols>
  <sheetData>
    <row r="1" spans="1:10" ht="12.75">
      <c r="A1" s="2" t="s">
        <v>2039</v>
      </c>
      <c r="B1" s="17"/>
      <c r="C1" s="17"/>
      <c r="D1" s="17"/>
      <c r="E1" s="17"/>
      <c r="F1" s="17"/>
      <c r="G1" s="17"/>
      <c r="H1" s="17"/>
      <c r="I1" s="17"/>
      <c r="J1" s="20" t="s">
        <v>2040</v>
      </c>
    </row>
    <row r="2" spans="1:10" ht="12.75">
      <c r="A2" s="2" t="s">
        <v>2041</v>
      </c>
      <c r="B2" s="17"/>
      <c r="C2" s="17"/>
      <c r="D2" s="17"/>
      <c r="E2" s="17"/>
      <c r="F2" s="17"/>
      <c r="G2" s="17"/>
      <c r="H2" s="17"/>
      <c r="I2" s="17"/>
      <c r="J2" s="85" t="s">
        <v>2385</v>
      </c>
    </row>
    <row r="3" spans="1:10" ht="12.75">
      <c r="A3" s="2" t="s">
        <v>2383</v>
      </c>
      <c r="B3" s="17"/>
      <c r="C3" s="17"/>
      <c r="D3" s="17"/>
      <c r="E3" s="17"/>
      <c r="F3" s="17"/>
      <c r="G3" s="17"/>
      <c r="H3" s="17"/>
      <c r="I3" s="17"/>
      <c r="J3" s="20"/>
    </row>
    <row r="4" spans="1:10" ht="12.75">
      <c r="A4" s="2" t="s">
        <v>2044</v>
      </c>
      <c r="B4" s="17"/>
      <c r="C4" s="17"/>
      <c r="D4" s="17"/>
      <c r="E4" s="21" t="s">
        <v>2042</v>
      </c>
      <c r="F4" s="1287" t="str">
        <f>Input!F2</f>
        <v>Lincoln</v>
      </c>
      <c r="G4" s="1287"/>
      <c r="H4" s="21" t="s">
        <v>2043</v>
      </c>
      <c r="I4" s="21"/>
      <c r="J4" s="22" t="str">
        <f>Input!$F$6</f>
        <v>8-163.00</v>
      </c>
    </row>
    <row r="5" spans="1:10" ht="12.75">
      <c r="A5" s="17"/>
      <c r="B5" s="17"/>
      <c r="C5" s="17"/>
      <c r="D5" s="17"/>
      <c r="E5" s="23" t="s">
        <v>2045</v>
      </c>
      <c r="F5" s="1288" t="str">
        <f>IF(Input!F14&gt;0,CONCATENATE(Input!F14,", ",Input!F15),Input!F15)</f>
        <v>US 150, Crab Orchard - Mt Vernon Road</v>
      </c>
      <c r="G5" s="1288"/>
      <c r="H5" s="1288"/>
      <c r="I5" s="1288"/>
      <c r="J5" s="1288"/>
    </row>
    <row r="6" spans="1:10" ht="12.75">
      <c r="A6" s="17"/>
      <c r="B6" s="17"/>
      <c r="C6" s="17"/>
      <c r="D6" s="17"/>
      <c r="E6" s="1289" t="s">
        <v>2046</v>
      </c>
      <c r="F6" s="1289"/>
      <c r="G6" s="1288" t="str">
        <f>Input!F3</f>
        <v>FD04 069 0150 016-020</v>
      </c>
      <c r="H6" s="1288"/>
      <c r="I6" s="1288"/>
      <c r="J6" s="1288"/>
    </row>
    <row r="7" spans="1:10" ht="12.75">
      <c r="A7" s="24" t="s">
        <v>2047</v>
      </c>
      <c r="B7" s="1287" t="str">
        <f>IF(Input!F12&gt;0,Input!F12,"")</f>
        <v>Simpson</v>
      </c>
      <c r="C7" s="1287"/>
      <c r="D7" s="1287"/>
      <c r="E7" s="1289" t="s">
        <v>2048</v>
      </c>
      <c r="F7" s="1289"/>
      <c r="G7" s="1288" t="str">
        <f>Input!F4</f>
        <v>none</v>
      </c>
      <c r="H7" s="1288"/>
      <c r="I7" s="1288"/>
      <c r="J7" s="1288"/>
    </row>
    <row r="8" spans="1:10" ht="12.75">
      <c r="A8" s="17"/>
      <c r="B8" s="17"/>
      <c r="C8" s="17"/>
      <c r="D8" s="17"/>
      <c r="E8" s="17"/>
      <c r="F8" s="17"/>
      <c r="G8" s="17"/>
      <c r="H8" s="17"/>
      <c r="I8" s="17"/>
      <c r="J8" s="19"/>
    </row>
    <row r="9" spans="1:10" ht="12.75">
      <c r="A9" s="1072" t="s">
        <v>2049</v>
      </c>
      <c r="B9" s="1279" t="s">
        <v>2050</v>
      </c>
      <c r="C9" s="1280"/>
      <c r="D9" s="1280"/>
      <c r="E9" s="1281"/>
      <c r="F9" s="25" t="s">
        <v>2299</v>
      </c>
      <c r="G9" s="25" t="s">
        <v>2037</v>
      </c>
      <c r="H9" s="25" t="s">
        <v>2051</v>
      </c>
      <c r="I9" s="25" t="s">
        <v>2052</v>
      </c>
      <c r="J9" s="25" t="s">
        <v>2053</v>
      </c>
    </row>
    <row r="10" spans="1:10" ht="12.75">
      <c r="A10" s="1275"/>
      <c r="B10" s="26" t="s">
        <v>2054</v>
      </c>
      <c r="C10" s="27"/>
      <c r="D10" s="27"/>
      <c r="E10" s="18"/>
      <c r="F10" s="28" t="s">
        <v>2036</v>
      </c>
      <c r="G10" s="28" t="s">
        <v>2299</v>
      </c>
      <c r="H10" s="28" t="s">
        <v>2055</v>
      </c>
      <c r="I10" s="28" t="s">
        <v>2057</v>
      </c>
      <c r="J10" s="28" t="s">
        <v>2058</v>
      </c>
    </row>
    <row r="11" spans="1:10" ht="12.75">
      <c r="A11" s="1073"/>
      <c r="B11" s="1276" t="s">
        <v>2034</v>
      </c>
      <c r="C11" s="1277"/>
      <c r="D11" s="1277"/>
      <c r="E11" s="1278"/>
      <c r="F11" s="29"/>
      <c r="G11" s="29" t="s">
        <v>2036</v>
      </c>
      <c r="H11" s="62">
        <f>IF(Input!F11,'TC 66-101 (Bridge Est.)'!M24,"")</f>
        <v>44992</v>
      </c>
      <c r="I11" s="29"/>
      <c r="J11" s="29"/>
    </row>
    <row r="12" spans="1:10" ht="12.75">
      <c r="A12" s="30" t="str">
        <f>IF(Input!F24&gt;0,Input!F24)</f>
        <v>167+50.000</v>
      </c>
      <c r="B12" s="1284" t="str">
        <f>IF(Input!F26,CONCATENATE(Input!F26,"-Span, ",Input!F20,", ",TEXT(Input!F25,"0.0")," ",Input!I25," ",Input!J25," Skew"),"")</f>
        <v>3-Span, PCIB Type 3, 30.0 deg Rt Skew</v>
      </c>
      <c r="C12" s="1285"/>
      <c r="D12" s="1285"/>
      <c r="E12" s="1286"/>
      <c r="F12" s="105" t="s">
        <v>405</v>
      </c>
      <c r="G12" s="105" t="s">
        <v>405</v>
      </c>
      <c r="H12" s="32">
        <f>IF(Input!F11&gt;0,'TC 66-101 (Bridge Est.)'!N49,"")</f>
        <v>0</v>
      </c>
      <c r="I12" s="33">
        <f>IF(Input!F34&gt;0,Input!F34,"")</f>
        <v>23</v>
      </c>
      <c r="J12" s="33">
        <f>IF(Input!F11&gt;0,Input!F11,"")</f>
        <v>25546</v>
      </c>
    </row>
    <row r="13" spans="1:10" ht="13.5" thickBot="1">
      <c r="A13" s="28"/>
      <c r="B13" s="1261" t="str">
        <f>IF(Input!F19&gt;0,Input!F19,"")</f>
        <v>Continuous for Live Load</v>
      </c>
      <c r="C13" s="1262"/>
      <c r="D13" s="1262"/>
      <c r="E13" s="1263"/>
      <c r="F13" s="34"/>
      <c r="G13" s="34"/>
      <c r="H13" s="34"/>
      <c r="I13" s="28"/>
      <c r="J13" s="28"/>
    </row>
    <row r="14" spans="1:10" ht="13.5" thickTop="1">
      <c r="A14" s="87"/>
      <c r="B14" s="1264" t="s">
        <v>2035</v>
      </c>
      <c r="C14" s="1265"/>
      <c r="D14" s="1265"/>
      <c r="E14" s="1266"/>
      <c r="F14" s="88"/>
      <c r="G14" s="88"/>
      <c r="H14" s="88"/>
      <c r="I14" s="89"/>
      <c r="J14" s="89"/>
    </row>
    <row r="15" spans="1:10" ht="12.75">
      <c r="A15" s="86">
        <f>IF(Input!D93&gt;0,Input!D93,"")</f>
      </c>
      <c r="B15" s="1256">
        <f>IF(Input!D87&gt;0,CONCATENATE(Input!D90," - ",Input!D89,"   ~  RCBC ",Input!D96,"' x ",Input!D97,"'"),"")</f>
      </c>
      <c r="C15" s="1257"/>
      <c r="D15" s="1257"/>
      <c r="E15" s="1258"/>
      <c r="F15" s="92"/>
      <c r="G15" s="92"/>
      <c r="H15" s="101">
        <f>IF(Input!D87,'TC 66-100 (Culvert Est.)'!H45,"")</f>
      </c>
      <c r="I15" s="95">
        <f>IF(Input!D87,Input!D92,"")</f>
      </c>
      <c r="J15" s="95">
        <f>IF(Input!D87,Input!D87,"")</f>
      </c>
    </row>
    <row r="16" spans="1:10" ht="12.75">
      <c r="A16" s="86">
        <f>IF(Input!G93&gt;0,Input!G93,"")</f>
      </c>
      <c r="B16" s="1256">
        <f>IF(Input!G87&gt;0,CONCATENATE(Input!G90," - ",Input!G89,"   ~  RCBC ",Input!G96,"' x ",Input!G97,"'"),"")</f>
      </c>
      <c r="C16" s="1257"/>
      <c r="D16" s="1257"/>
      <c r="E16" s="1258"/>
      <c r="F16" s="92"/>
      <c r="G16" s="92"/>
      <c r="H16" s="101">
        <f>IF(Input!G87,'TC 66-100 (Culvert Est.)'!K45,"")</f>
      </c>
      <c r="I16" s="95">
        <f>IF(Input!G87,Input!G92,"")</f>
      </c>
      <c r="J16" s="95">
        <f>IF(Input!G87,Input!G87,"")</f>
      </c>
    </row>
    <row r="17" spans="1:10" ht="12.75">
      <c r="A17" s="86">
        <f>IF(Input!J93&gt;0,Input!J93,"")</f>
      </c>
      <c r="B17" s="1256">
        <f>IF(Input!J87&gt;0,CONCATENATE(Input!J90," - ",Input!J89,"   ~  RCBC ",Input!J96,"' x ",Input!J97,"'"),"")</f>
      </c>
      <c r="C17" s="1257"/>
      <c r="D17" s="1257"/>
      <c r="E17" s="1258"/>
      <c r="F17" s="92"/>
      <c r="G17" s="92"/>
      <c r="H17" s="101">
        <f>IF(Input!J87,'TC 66-100 (Culvert Est.)'!N45,"")</f>
      </c>
      <c r="I17" s="95">
        <f>IF(Input!J87,Input!J92,"")</f>
      </c>
      <c r="J17" s="95">
        <f>IF(Input!J87,Input!J87,"")</f>
      </c>
    </row>
    <row r="18" spans="1:10" ht="12.75">
      <c r="A18" s="86">
        <f>IF(Input!M93&gt;0,Input!M93,"")</f>
      </c>
      <c r="B18" s="1256">
        <f>IF(Input!M87&gt;0,CONCATENATE(Input!M90," - ",Input!M89,"   ~  RCBC ",Input!M96,"' x ",Input!M97,"'"),"")</f>
      </c>
      <c r="C18" s="1257"/>
      <c r="D18" s="1257"/>
      <c r="E18" s="1258"/>
      <c r="F18" s="92"/>
      <c r="G18" s="92"/>
      <c r="H18" s="101">
        <f>IF(Input!M87,'TC 66-100 (Culvert Est.)'!Q45,"")</f>
      </c>
      <c r="I18" s="95">
        <f>IF(Input!M87,Input!M92,"")</f>
      </c>
      <c r="J18" s="95">
        <f>IF(Input!M87,Input!M87,"")</f>
      </c>
    </row>
    <row r="19" spans="1:10" ht="12.75">
      <c r="A19" s="86">
        <f>IF(Input!P93&gt;0,Input!P93,"")</f>
      </c>
      <c r="B19" s="1256">
        <f>IF(Input!P87&gt;0,CONCATENATE(Input!P90," - ",Input!P89,"   ~  RCBC ",Input!P96,"' x ",Input!P97,"'"),"")</f>
      </c>
      <c r="C19" s="1257"/>
      <c r="D19" s="1257"/>
      <c r="E19" s="1258"/>
      <c r="F19" s="92"/>
      <c r="G19" s="92"/>
      <c r="H19" s="101">
        <f>IF(Input!P87,'TC 66-100 (Culvert Est.)'!T45,"")</f>
      </c>
      <c r="I19" s="95">
        <f>IF(Input!P87,Input!P92,"")</f>
      </c>
      <c r="J19" s="95">
        <f>IF(Input!P87,Input!P87,"")</f>
      </c>
    </row>
    <row r="20" spans="1:10" ht="12.75">
      <c r="A20" s="86"/>
      <c r="B20" s="1269"/>
      <c r="C20" s="1270"/>
      <c r="D20" s="1270"/>
      <c r="E20" s="1271"/>
      <c r="F20" s="92"/>
      <c r="G20" s="92"/>
      <c r="H20" s="97"/>
      <c r="I20" s="95"/>
      <c r="J20" s="95"/>
    </row>
    <row r="21" spans="1:10" ht="12.75">
      <c r="A21" s="86"/>
      <c r="B21" s="1269"/>
      <c r="C21" s="1270"/>
      <c r="D21" s="1270"/>
      <c r="E21" s="1271"/>
      <c r="F21" s="92"/>
      <c r="G21" s="92"/>
      <c r="H21" s="97"/>
      <c r="I21" s="95"/>
      <c r="J21" s="95"/>
    </row>
    <row r="22" spans="1:10" ht="12.75">
      <c r="A22" s="86"/>
      <c r="B22" s="1269"/>
      <c r="C22" s="1270"/>
      <c r="D22" s="1270"/>
      <c r="E22" s="1271"/>
      <c r="F22" s="92"/>
      <c r="G22" s="92"/>
      <c r="H22" s="97"/>
      <c r="I22" s="95"/>
      <c r="J22" s="95"/>
    </row>
    <row r="23" spans="1:10" ht="12.75">
      <c r="A23" s="33"/>
      <c r="B23" s="1282"/>
      <c r="C23" s="1283"/>
      <c r="D23" s="1283"/>
      <c r="E23" s="90"/>
      <c r="F23" s="91"/>
      <c r="G23" s="91"/>
      <c r="H23" s="98"/>
      <c r="I23" s="33"/>
      <c r="J23" s="33"/>
    </row>
    <row r="24" spans="1:10" ht="12.75">
      <c r="A24" s="102"/>
      <c r="B24" s="1269"/>
      <c r="C24" s="1270"/>
      <c r="D24" s="1270"/>
      <c r="E24" s="1271"/>
      <c r="F24" s="93"/>
      <c r="G24" s="93"/>
      <c r="H24" s="99"/>
      <c r="I24" s="96"/>
      <c r="J24" s="96"/>
    </row>
    <row r="25" spans="1:10" ht="12.75">
      <c r="A25" s="103"/>
      <c r="B25" s="1272"/>
      <c r="C25" s="1273"/>
      <c r="D25" s="1273"/>
      <c r="E25" s="1274"/>
      <c r="F25" s="94"/>
      <c r="G25" s="94"/>
      <c r="H25" s="100"/>
      <c r="I25" s="35"/>
      <c r="J25" s="35"/>
    </row>
    <row r="26" spans="1:10" ht="12.75">
      <c r="A26" s="108"/>
      <c r="B26" s="108"/>
      <c r="C26" s="108"/>
      <c r="D26" s="108"/>
      <c r="E26" s="108"/>
      <c r="F26" s="108"/>
      <c r="G26" s="108"/>
      <c r="H26" s="108"/>
      <c r="I26" s="108"/>
      <c r="J26" s="108"/>
    </row>
    <row r="27" spans="1:10" ht="12.75">
      <c r="A27" s="108"/>
      <c r="B27" s="108"/>
      <c r="C27" s="108"/>
      <c r="D27" s="108"/>
      <c r="E27" s="108"/>
      <c r="F27" s="108"/>
      <c r="G27" s="108"/>
      <c r="H27" s="108"/>
      <c r="I27" s="108"/>
      <c r="J27" s="108"/>
    </row>
    <row r="29" spans="1:10" ht="12.75">
      <c r="A29" s="25" t="s">
        <v>2060</v>
      </c>
      <c r="B29" s="25" t="s">
        <v>2060</v>
      </c>
      <c r="C29" s="25" t="s">
        <v>2061</v>
      </c>
      <c r="D29" s="25" t="s">
        <v>2060</v>
      </c>
      <c r="E29" s="25" t="s">
        <v>2060</v>
      </c>
      <c r="F29" s="25" t="s">
        <v>2062</v>
      </c>
      <c r="G29" s="25" t="s">
        <v>2060</v>
      </c>
      <c r="H29" s="25" t="s">
        <v>2060</v>
      </c>
      <c r="I29" s="25" t="s">
        <v>2062</v>
      </c>
      <c r="J29" s="25" t="s">
        <v>2060</v>
      </c>
    </row>
    <row r="30" spans="1:10" ht="12.75">
      <c r="A30" s="28" t="s">
        <v>2059</v>
      </c>
      <c r="B30" s="28" t="s">
        <v>2063</v>
      </c>
      <c r="C30" s="28" t="s">
        <v>2064</v>
      </c>
      <c r="D30" s="28" t="s">
        <v>2065</v>
      </c>
      <c r="E30" s="28" t="s">
        <v>2066</v>
      </c>
      <c r="F30" s="28" t="s">
        <v>2067</v>
      </c>
      <c r="G30" s="28" t="s">
        <v>2056</v>
      </c>
      <c r="H30" s="28" t="s">
        <v>2068</v>
      </c>
      <c r="I30" s="28" t="s">
        <v>2069</v>
      </c>
      <c r="J30" s="28" t="s">
        <v>2287</v>
      </c>
    </row>
    <row r="31" spans="1:10" ht="12.75">
      <c r="A31" s="28"/>
      <c r="B31" s="28" t="s">
        <v>2288</v>
      </c>
      <c r="C31" s="28" t="s">
        <v>2289</v>
      </c>
      <c r="D31" s="28" t="s">
        <v>2288</v>
      </c>
      <c r="E31" s="28" t="s">
        <v>2065</v>
      </c>
      <c r="F31" s="28" t="s">
        <v>2290</v>
      </c>
      <c r="G31" s="28" t="s">
        <v>2288</v>
      </c>
      <c r="H31" s="28" t="s">
        <v>2056</v>
      </c>
      <c r="I31" s="28" t="s">
        <v>2066</v>
      </c>
      <c r="J31" s="28" t="s">
        <v>2291</v>
      </c>
    </row>
    <row r="32" spans="1:10" ht="12.75">
      <c r="A32" s="29"/>
      <c r="B32" s="29" t="s">
        <v>2294</v>
      </c>
      <c r="C32" s="29" t="s">
        <v>2294</v>
      </c>
      <c r="D32" s="29" t="s">
        <v>2289</v>
      </c>
      <c r="E32" s="29" t="s">
        <v>2295</v>
      </c>
      <c r="F32" s="29" t="s">
        <v>2296</v>
      </c>
      <c r="G32" s="29" t="s">
        <v>2289</v>
      </c>
      <c r="H32" s="29" t="s">
        <v>2289</v>
      </c>
      <c r="I32" s="29" t="s">
        <v>2297</v>
      </c>
      <c r="J32" s="29" t="s">
        <v>2298</v>
      </c>
    </row>
    <row r="33" spans="1:10" ht="12.75">
      <c r="A33" s="211">
        <v>36861</v>
      </c>
      <c r="B33" s="31"/>
      <c r="C33" s="31"/>
      <c r="D33" s="42" t="s">
        <v>405</v>
      </c>
      <c r="E33" s="31"/>
      <c r="F33" s="37" t="e">
        <f>IF(A33,G33/D33,0)</f>
        <v>#VALUE!</v>
      </c>
      <c r="G33" s="45" t="s">
        <v>405</v>
      </c>
      <c r="H33" s="38" t="str">
        <f>IF(A33,G33,0)</f>
        <v>x</v>
      </c>
      <c r="I33" s="31"/>
      <c r="J33" s="31"/>
    </row>
    <row r="34" spans="1:10" ht="12.75">
      <c r="A34" s="212"/>
      <c r="B34" s="31"/>
      <c r="C34" s="31"/>
      <c r="D34" s="43"/>
      <c r="E34" s="31"/>
      <c r="F34" s="37">
        <f aca="true" t="shared" si="0" ref="F34:F51">IF(A34,G34/D34,0)</f>
        <v>0</v>
      </c>
      <c r="G34" s="46"/>
      <c r="H34" s="517">
        <f>IF(A34,H33+G34,0)</f>
        <v>0</v>
      </c>
      <c r="I34" s="31"/>
      <c r="J34" s="31"/>
    </row>
    <row r="35" spans="1:10" ht="12.75">
      <c r="A35" s="212"/>
      <c r="B35" s="31"/>
      <c r="C35" s="31"/>
      <c r="D35" s="43"/>
      <c r="E35" s="31"/>
      <c r="F35" s="37">
        <f t="shared" si="0"/>
        <v>0</v>
      </c>
      <c r="G35" s="46"/>
      <c r="H35" s="38">
        <f aca="true" t="shared" si="1" ref="H35:H51">IF(A35,H34+G35,0)</f>
        <v>0</v>
      </c>
      <c r="I35" s="31"/>
      <c r="J35" s="31"/>
    </row>
    <row r="36" spans="1:10" ht="12.75">
      <c r="A36" s="212"/>
      <c r="B36" s="31"/>
      <c r="C36" s="31"/>
      <c r="D36" s="43"/>
      <c r="E36" s="31"/>
      <c r="F36" s="37">
        <f t="shared" si="0"/>
        <v>0</v>
      </c>
      <c r="G36" s="46"/>
      <c r="H36" s="38">
        <f t="shared" si="1"/>
        <v>0</v>
      </c>
      <c r="I36" s="31"/>
      <c r="J36" s="31"/>
    </row>
    <row r="37" spans="1:10" ht="12.75">
      <c r="A37" s="212"/>
      <c r="B37" s="31"/>
      <c r="C37" s="31"/>
      <c r="D37" s="43"/>
      <c r="E37" s="31"/>
      <c r="F37" s="37">
        <f t="shared" si="0"/>
        <v>0</v>
      </c>
      <c r="G37" s="46"/>
      <c r="H37" s="38">
        <f t="shared" si="1"/>
        <v>0</v>
      </c>
      <c r="I37" s="31"/>
      <c r="J37" s="31"/>
    </row>
    <row r="38" spans="1:10" ht="12.75">
      <c r="A38" s="212"/>
      <c r="B38" s="31"/>
      <c r="C38" s="31"/>
      <c r="D38" s="43"/>
      <c r="E38" s="31"/>
      <c r="F38" s="37">
        <f t="shared" si="0"/>
        <v>0</v>
      </c>
      <c r="G38" s="46"/>
      <c r="H38" s="38">
        <f t="shared" si="1"/>
        <v>0</v>
      </c>
      <c r="I38" s="31"/>
      <c r="J38" s="31"/>
    </row>
    <row r="39" spans="1:10" ht="12.75">
      <c r="A39" s="212"/>
      <c r="B39" s="31"/>
      <c r="C39" s="31"/>
      <c r="D39" s="43"/>
      <c r="E39" s="31"/>
      <c r="F39" s="37">
        <f t="shared" si="0"/>
        <v>0</v>
      </c>
      <c r="G39" s="46"/>
      <c r="H39" s="38">
        <f t="shared" si="1"/>
        <v>0</v>
      </c>
      <c r="I39" s="31"/>
      <c r="J39" s="31"/>
    </row>
    <row r="40" spans="1:10" ht="12.75">
      <c r="A40" s="212"/>
      <c r="B40" s="31"/>
      <c r="C40" s="31"/>
      <c r="D40" s="43"/>
      <c r="E40" s="31"/>
      <c r="F40" s="37">
        <f t="shared" si="0"/>
        <v>0</v>
      </c>
      <c r="G40" s="46"/>
      <c r="H40" s="38">
        <f t="shared" si="1"/>
        <v>0</v>
      </c>
      <c r="I40" s="31"/>
      <c r="J40" s="31"/>
    </row>
    <row r="41" spans="1:10" ht="12.75">
      <c r="A41" s="212"/>
      <c r="B41" s="31"/>
      <c r="C41" s="31"/>
      <c r="D41" s="43"/>
      <c r="E41" s="31"/>
      <c r="F41" s="37">
        <f t="shared" si="0"/>
        <v>0</v>
      </c>
      <c r="G41" s="46"/>
      <c r="H41" s="38">
        <f t="shared" si="1"/>
        <v>0</v>
      </c>
      <c r="I41" s="31"/>
      <c r="J41" s="31"/>
    </row>
    <row r="42" spans="1:10" ht="12.75">
      <c r="A42" s="212"/>
      <c r="B42" s="31"/>
      <c r="C42" s="31"/>
      <c r="D42" s="43"/>
      <c r="E42" s="31"/>
      <c r="F42" s="37">
        <f t="shared" si="0"/>
        <v>0</v>
      </c>
      <c r="G42" s="46"/>
      <c r="H42" s="38">
        <f t="shared" si="1"/>
        <v>0</v>
      </c>
      <c r="I42" s="31"/>
      <c r="J42" s="31"/>
    </row>
    <row r="43" spans="1:10" ht="12.75">
      <c r="A43" s="41"/>
      <c r="B43" s="31"/>
      <c r="C43" s="31"/>
      <c r="D43" s="44"/>
      <c r="E43" s="31"/>
      <c r="F43" s="37">
        <f t="shared" si="0"/>
        <v>0</v>
      </c>
      <c r="G43" s="44"/>
      <c r="H43" s="38">
        <f t="shared" si="1"/>
        <v>0</v>
      </c>
      <c r="I43" s="31"/>
      <c r="J43" s="31"/>
    </row>
    <row r="44" spans="1:10" ht="12.75">
      <c r="A44" s="41"/>
      <c r="B44" s="31"/>
      <c r="C44" s="31"/>
      <c r="D44" s="44"/>
      <c r="E44" s="31"/>
      <c r="F44" s="37">
        <f t="shared" si="0"/>
        <v>0</v>
      </c>
      <c r="G44" s="44"/>
      <c r="H44" s="38">
        <f t="shared" si="1"/>
        <v>0</v>
      </c>
      <c r="I44" s="31"/>
      <c r="J44" s="31"/>
    </row>
    <row r="45" spans="1:10" ht="12.75">
      <c r="A45" s="41"/>
      <c r="B45" s="31"/>
      <c r="C45" s="31"/>
      <c r="D45" s="44"/>
      <c r="E45" s="31"/>
      <c r="F45" s="37">
        <f t="shared" si="0"/>
        <v>0</v>
      </c>
      <c r="G45" s="44"/>
      <c r="H45" s="38">
        <f t="shared" si="1"/>
        <v>0</v>
      </c>
      <c r="I45" s="31"/>
      <c r="J45" s="31"/>
    </row>
    <row r="46" spans="1:10" ht="12.75">
      <c r="A46" s="41"/>
      <c r="B46" s="31"/>
      <c r="C46" s="31"/>
      <c r="D46" s="44"/>
      <c r="E46" s="31"/>
      <c r="F46" s="37">
        <f t="shared" si="0"/>
        <v>0</v>
      </c>
      <c r="G46" s="44"/>
      <c r="H46" s="38">
        <f t="shared" si="1"/>
        <v>0</v>
      </c>
      <c r="I46" s="31"/>
      <c r="J46" s="31"/>
    </row>
    <row r="47" spans="1:10" ht="12.75">
      <c r="A47" s="41"/>
      <c r="B47" s="31"/>
      <c r="C47" s="31"/>
      <c r="D47" s="44"/>
      <c r="E47" s="31"/>
      <c r="F47" s="37">
        <f t="shared" si="0"/>
        <v>0</v>
      </c>
      <c r="G47" s="44"/>
      <c r="H47" s="38">
        <f t="shared" si="1"/>
        <v>0</v>
      </c>
      <c r="I47" s="31"/>
      <c r="J47" s="31"/>
    </row>
    <row r="48" spans="1:10" ht="12.75">
      <c r="A48" s="41"/>
      <c r="B48" s="31"/>
      <c r="C48" s="31"/>
      <c r="D48" s="44"/>
      <c r="E48" s="31"/>
      <c r="F48" s="37">
        <f t="shared" si="0"/>
        <v>0</v>
      </c>
      <c r="G48" s="44"/>
      <c r="H48" s="38">
        <f t="shared" si="1"/>
        <v>0</v>
      </c>
      <c r="I48" s="31"/>
      <c r="J48" s="31"/>
    </row>
    <row r="49" spans="1:10" ht="12.75">
      <c r="A49" s="41"/>
      <c r="B49" s="31"/>
      <c r="C49" s="31"/>
      <c r="D49" s="44"/>
      <c r="E49" s="31"/>
      <c r="F49" s="37">
        <f t="shared" si="0"/>
        <v>0</v>
      </c>
      <c r="G49" s="44"/>
      <c r="H49" s="38">
        <f t="shared" si="1"/>
        <v>0</v>
      </c>
      <c r="I49" s="31"/>
      <c r="J49" s="31"/>
    </row>
    <row r="50" spans="1:10" ht="12.75">
      <c r="A50" s="41"/>
      <c r="B50" s="31"/>
      <c r="C50" s="31"/>
      <c r="D50" s="44"/>
      <c r="E50" s="31"/>
      <c r="F50" s="37">
        <f t="shared" si="0"/>
        <v>0</v>
      </c>
      <c r="G50" s="44"/>
      <c r="H50" s="38">
        <f t="shared" si="1"/>
        <v>0</v>
      </c>
      <c r="I50" s="31"/>
      <c r="J50" s="31"/>
    </row>
    <row r="51" spans="1:10" ht="12.75">
      <c r="A51" s="213"/>
      <c r="B51" s="214"/>
      <c r="C51" s="214"/>
      <c r="D51" s="215"/>
      <c r="E51" s="214"/>
      <c r="F51" s="518">
        <f t="shared" si="0"/>
        <v>0</v>
      </c>
      <c r="G51" s="215"/>
      <c r="H51" s="68">
        <f t="shared" si="1"/>
        <v>0</v>
      </c>
      <c r="I51" s="214"/>
      <c r="J51" s="214"/>
    </row>
    <row r="52" spans="1:10" ht="12.75">
      <c r="A52" s="1267" t="s">
        <v>2299</v>
      </c>
      <c r="B52" s="1268"/>
      <c r="C52" s="31"/>
      <c r="D52" s="44"/>
      <c r="E52" s="31"/>
      <c r="F52" s="31"/>
      <c r="G52" s="44"/>
      <c r="H52" s="31"/>
      <c r="I52" s="31"/>
      <c r="J52" s="31"/>
    </row>
    <row r="53" spans="1:10" ht="12.75">
      <c r="A53" s="1254" t="s">
        <v>2300</v>
      </c>
      <c r="B53" s="1255"/>
      <c r="C53" s="31"/>
      <c r="D53" s="44"/>
      <c r="E53" s="31"/>
      <c r="F53" s="31"/>
      <c r="G53" s="44"/>
      <c r="H53" s="31"/>
      <c r="I53" s="31"/>
      <c r="J53" s="31"/>
    </row>
    <row r="54" spans="1:10" ht="12.75">
      <c r="A54" s="1259" t="s">
        <v>2301</v>
      </c>
      <c r="B54" s="1260"/>
      <c r="C54" s="36"/>
      <c r="D54" s="39">
        <f>SUM(D33:D51)</f>
        <v>0</v>
      </c>
      <c r="E54" s="36"/>
      <c r="F54" s="36"/>
      <c r="G54" s="68">
        <f>SUM(G33:G51)</f>
        <v>0</v>
      </c>
      <c r="H54" s="40"/>
      <c r="I54" s="36"/>
      <c r="J54" s="36"/>
    </row>
  </sheetData>
  <sheetProtection password="CBEB" sheet="1" objects="1" scenarios="1"/>
  <mergeCells count="27">
    <mergeCell ref="B7:D7"/>
    <mergeCell ref="F4:G4"/>
    <mergeCell ref="F5:J5"/>
    <mergeCell ref="G6:J6"/>
    <mergeCell ref="G7:J7"/>
    <mergeCell ref="E6:F6"/>
    <mergeCell ref="E7:F7"/>
    <mergeCell ref="A9:A11"/>
    <mergeCell ref="B11:E11"/>
    <mergeCell ref="B9:E9"/>
    <mergeCell ref="B23:D23"/>
    <mergeCell ref="B19:E19"/>
    <mergeCell ref="B20:E20"/>
    <mergeCell ref="B22:E22"/>
    <mergeCell ref="B16:E16"/>
    <mergeCell ref="B12:E12"/>
    <mergeCell ref="B21:E21"/>
    <mergeCell ref="A53:B53"/>
    <mergeCell ref="B17:E17"/>
    <mergeCell ref="A54:B54"/>
    <mergeCell ref="B13:E13"/>
    <mergeCell ref="B14:E14"/>
    <mergeCell ref="A52:B52"/>
    <mergeCell ref="B24:E24"/>
    <mergeCell ref="B25:E25"/>
    <mergeCell ref="B15:E15"/>
    <mergeCell ref="B18:E18"/>
  </mergeCells>
  <printOptions horizontalCentered="1"/>
  <pageMargins left="0.25" right="0.25" top="0.75" bottom="0.75" header="0.5" footer="0.375"/>
  <pageSetup blackAndWhite="1" horizontalDpi="600" verticalDpi="600" orientation="portrait" r:id="rId1"/>
  <headerFooter alignWithMargins="0">
    <oddFooter>&amp;L&amp;8&amp;F&amp;C&amp;8&amp;D&amp;R&amp;8&amp;A</oddFooter>
  </headerFooter>
</worksheet>
</file>

<file path=xl/worksheets/sheet11.xml><?xml version="1.0" encoding="utf-8"?>
<worksheet xmlns="http://schemas.openxmlformats.org/spreadsheetml/2006/main" xmlns:r="http://schemas.openxmlformats.org/officeDocument/2006/relationships">
  <dimension ref="A1:AL84"/>
  <sheetViews>
    <sheetView showGridLines="0" showZeros="0" zoomScalePageLayoutView="0" workbookViewId="0" topLeftCell="A1">
      <selection activeCell="A1" sqref="A1"/>
    </sheetView>
  </sheetViews>
  <sheetFormatPr defaultColWidth="2.7109375" defaultRowHeight="15" customHeight="1"/>
  <cols>
    <col min="1" max="1" width="3.421875" style="4" customWidth="1"/>
    <col min="2" max="16384" width="2.7109375" style="4" customWidth="1"/>
  </cols>
  <sheetData>
    <row r="1" spans="1:38" ht="15" customHeight="1">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612</v>
      </c>
      <c r="AJ1" s="1291"/>
      <c r="AK1" s="1291"/>
      <c r="AL1" s="1291"/>
    </row>
    <row r="2" spans="1:38" ht="15" customHeight="1">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2385</v>
      </c>
      <c r="AJ2" s="1291"/>
      <c r="AK2" s="1291"/>
      <c r="AL2" s="1291"/>
    </row>
    <row r="3" spans="1:38" ht="15" customHeight="1">
      <c r="A3" s="358"/>
      <c r="B3" s="273"/>
      <c r="C3" s="273"/>
      <c r="D3" s="273"/>
      <c r="E3" s="1290" t="s">
        <v>2383</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5" customHeight="1">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5" customHeight="1">
      <c r="A5" s="1290" t="s">
        <v>613</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5" customHeight="1">
      <c r="A7" s="1292" t="s">
        <v>2665</v>
      </c>
      <c r="B7" s="1292"/>
      <c r="C7" s="1292"/>
      <c r="D7" s="1292"/>
      <c r="E7" s="1292"/>
      <c r="F7" s="1292"/>
      <c r="G7" s="1293" t="str">
        <f>Input!F2</f>
        <v>Lincoln</v>
      </c>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3"/>
      <c r="AL7" s="1293"/>
    </row>
    <row r="8" spans="1:38" ht="15" customHeight="1">
      <c r="A8" s="1292" t="s">
        <v>2340</v>
      </c>
      <c r="B8" s="1292"/>
      <c r="C8" s="1292"/>
      <c r="D8" s="1292"/>
      <c r="E8" s="1292"/>
      <c r="F8" s="1292"/>
      <c r="G8" s="1293">
        <f>Input!F11</f>
        <v>25546</v>
      </c>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row>
    <row r="9" spans="1:38" ht="15" customHeight="1">
      <c r="A9" s="1292" t="s">
        <v>614</v>
      </c>
      <c r="B9" s="1292"/>
      <c r="C9" s="1292"/>
      <c r="D9" s="1292"/>
      <c r="E9" s="1292"/>
      <c r="F9" s="1292"/>
      <c r="G9" s="1294" t="s">
        <v>419</v>
      </c>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row>
    <row r="10" spans="1:38" ht="15" customHeight="1">
      <c r="A10" s="1292" t="s">
        <v>615</v>
      </c>
      <c r="B10" s="1292"/>
      <c r="C10" s="1292"/>
      <c r="D10" s="1292"/>
      <c r="E10" s="1292"/>
      <c r="F10" s="1292"/>
      <c r="G10" s="1297" t="s">
        <v>405</v>
      </c>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row>
    <row r="11" spans="1:38" ht="15" customHeight="1">
      <c r="A11" s="1292" t="s">
        <v>616</v>
      </c>
      <c r="B11" s="1292"/>
      <c r="C11" s="1292"/>
      <c r="D11" s="1292"/>
      <c r="E11" s="1292"/>
      <c r="F11" s="1292"/>
      <c r="G11" s="1298" t="s">
        <v>405</v>
      </c>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row>
    <row r="13" spans="1:38" ht="15" customHeight="1">
      <c r="A13" s="1299" t="s">
        <v>617</v>
      </c>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row>
    <row r="14" spans="1:38" ht="15" customHeight="1">
      <c r="A14" s="382" t="s">
        <v>618</v>
      </c>
      <c r="B14" s="1292" t="s">
        <v>619</v>
      </c>
      <c r="C14" s="1292"/>
      <c r="D14" s="1292"/>
      <c r="E14" s="1292"/>
      <c r="F14" s="1292"/>
      <c r="G14" s="1292"/>
      <c r="H14" s="1292"/>
      <c r="I14" s="1292"/>
      <c r="J14" s="1292"/>
      <c r="K14" s="1292"/>
      <c r="L14" s="1292"/>
      <c r="M14" s="1292"/>
      <c r="N14" s="1292"/>
      <c r="O14" s="1292"/>
      <c r="P14" s="1292"/>
      <c r="Q14" s="1292"/>
      <c r="R14" s="1292"/>
      <c r="S14" s="1292"/>
      <c r="T14" s="1292"/>
      <c r="U14" s="1292"/>
      <c r="V14" s="1292"/>
      <c r="W14" s="1292"/>
      <c r="X14" s="1292"/>
      <c r="Y14" s="1292"/>
      <c r="Z14" s="1292"/>
      <c r="AA14" s="1292"/>
      <c r="AB14" s="1292"/>
      <c r="AC14" s="1292"/>
      <c r="AD14" s="1292"/>
      <c r="AE14" s="1292"/>
      <c r="AF14" s="1292"/>
      <c r="AG14" s="1292"/>
      <c r="AH14" s="1292"/>
      <c r="AI14" s="1292"/>
      <c r="AJ14" s="1292"/>
      <c r="AK14" s="1292"/>
      <c r="AL14" s="1292"/>
    </row>
    <row r="15" spans="2:38" ht="15" customHeight="1">
      <c r="B15" s="1292" t="s">
        <v>620</v>
      </c>
      <c r="C15" s="1292"/>
      <c r="D15" s="1292"/>
      <c r="E15" s="1292"/>
      <c r="F15" s="1292"/>
      <c r="G15" s="1292"/>
      <c r="H15" s="1292"/>
      <c r="I15" s="1292"/>
      <c r="J15" s="1292"/>
      <c r="K15" s="1296"/>
      <c r="L15" s="383"/>
      <c r="M15" s="1295" t="s">
        <v>621</v>
      </c>
      <c r="N15" s="1296"/>
      <c r="O15" s="383"/>
      <c r="P15" s="1295" t="s">
        <v>622</v>
      </c>
      <c r="Q15" s="1296"/>
      <c r="R15" s="383"/>
      <c r="S15" s="1295" t="s">
        <v>2666</v>
      </c>
      <c r="T15" s="1292"/>
      <c r="U15" s="1292" t="s">
        <v>623</v>
      </c>
      <c r="V15" s="1292"/>
      <c r="W15" s="1292"/>
      <c r="X15" s="1292"/>
      <c r="Y15" s="1292"/>
      <c r="Z15" s="1292"/>
      <c r="AA15" s="1292"/>
      <c r="AB15" s="1292"/>
      <c r="AC15" s="1296"/>
      <c r="AD15" s="383"/>
      <c r="AE15" s="1295" t="s">
        <v>621</v>
      </c>
      <c r="AF15" s="1296"/>
      <c r="AG15" s="383"/>
      <c r="AH15" s="1295" t="s">
        <v>622</v>
      </c>
      <c r="AI15" s="1296"/>
      <c r="AJ15" s="383"/>
      <c r="AK15" s="1295" t="s">
        <v>2666</v>
      </c>
      <c r="AL15" s="1292"/>
    </row>
    <row r="16" spans="2:38" ht="15" customHeight="1">
      <c r="B16" s="1292" t="s">
        <v>624</v>
      </c>
      <c r="C16" s="1292"/>
      <c r="D16" s="1292"/>
      <c r="E16" s="1292"/>
      <c r="F16" s="1292"/>
      <c r="G16" s="1292"/>
      <c r="H16" s="1292"/>
      <c r="I16" s="1292"/>
      <c r="J16" s="1292"/>
      <c r="K16" s="1296"/>
      <c r="L16" s="383"/>
      <c r="M16" s="1295" t="s">
        <v>621</v>
      </c>
      <c r="N16" s="1296"/>
      <c r="O16" s="383"/>
      <c r="P16" s="1295" t="s">
        <v>622</v>
      </c>
      <c r="Q16" s="1296"/>
      <c r="R16" s="383"/>
      <c r="S16" s="1295" t="s">
        <v>2666</v>
      </c>
      <c r="T16" s="1292"/>
      <c r="U16" s="1292" t="s">
        <v>625</v>
      </c>
      <c r="V16" s="1292"/>
      <c r="W16" s="1292"/>
      <c r="X16" s="1292"/>
      <c r="Y16" s="1292"/>
      <c r="Z16" s="1292"/>
      <c r="AA16" s="1292"/>
      <c r="AB16" s="1292"/>
      <c r="AC16" s="1296"/>
      <c r="AD16" s="383"/>
      <c r="AE16" s="1295" t="s">
        <v>621</v>
      </c>
      <c r="AF16" s="1296"/>
      <c r="AG16" s="383"/>
      <c r="AH16" s="1295" t="s">
        <v>622</v>
      </c>
      <c r="AI16" s="1296"/>
      <c r="AJ16" s="383"/>
      <c r="AK16" s="1295" t="s">
        <v>2666</v>
      </c>
      <c r="AL16" s="1292"/>
    </row>
    <row r="17" spans="2:38" ht="15" customHeight="1">
      <c r="B17" s="1292" t="s">
        <v>626</v>
      </c>
      <c r="C17" s="1292"/>
      <c r="D17" s="1292"/>
      <c r="E17" s="1292"/>
      <c r="F17" s="1292"/>
      <c r="G17" s="1292"/>
      <c r="H17" s="1292"/>
      <c r="I17" s="1292"/>
      <c r="J17" s="1292"/>
      <c r="K17" s="1296"/>
      <c r="L17" s="383"/>
      <c r="M17" s="1295" t="s">
        <v>621</v>
      </c>
      <c r="N17" s="1296"/>
      <c r="O17" s="383"/>
      <c r="P17" s="1295" t="s">
        <v>622</v>
      </c>
      <c r="Q17" s="1296"/>
      <c r="R17" s="383"/>
      <c r="S17" s="1295" t="s">
        <v>2666</v>
      </c>
      <c r="T17" s="1292"/>
      <c r="U17" s="1292" t="s">
        <v>236</v>
      </c>
      <c r="V17" s="1292"/>
      <c r="W17" s="1292"/>
      <c r="X17" s="1292"/>
      <c r="Y17" s="1292"/>
      <c r="Z17" s="1292"/>
      <c r="AA17" s="1292"/>
      <c r="AB17" s="1292"/>
      <c r="AC17" s="1296"/>
      <c r="AD17" s="383"/>
      <c r="AE17" s="1295" t="s">
        <v>621</v>
      </c>
      <c r="AF17" s="1296"/>
      <c r="AG17" s="383"/>
      <c r="AH17" s="1295" t="s">
        <v>622</v>
      </c>
      <c r="AI17" s="1296"/>
      <c r="AJ17" s="383"/>
      <c r="AK17" s="1295" t="s">
        <v>2666</v>
      </c>
      <c r="AL17" s="1292"/>
    </row>
    <row r="18" spans="2:38" ht="15" customHeight="1">
      <c r="B18" s="1292" t="s">
        <v>237</v>
      </c>
      <c r="C18" s="1292"/>
      <c r="D18" s="1292"/>
      <c r="E18" s="1292"/>
      <c r="F18" s="1292"/>
      <c r="G18" s="1292"/>
      <c r="H18" s="1292"/>
      <c r="I18" s="1292"/>
      <c r="J18" s="1292"/>
      <c r="K18" s="1296"/>
      <c r="L18" s="383"/>
      <c r="M18" s="1295" t="s">
        <v>621</v>
      </c>
      <c r="N18" s="1296"/>
      <c r="O18" s="383"/>
      <c r="P18" s="1295" t="s">
        <v>622</v>
      </c>
      <c r="Q18" s="1296"/>
      <c r="R18" s="383"/>
      <c r="S18" s="1295" t="s">
        <v>2666</v>
      </c>
      <c r="T18" s="1292"/>
      <c r="U18" s="1292" t="s">
        <v>238</v>
      </c>
      <c r="V18" s="1292"/>
      <c r="W18" s="1292"/>
      <c r="X18" s="1292"/>
      <c r="Y18" s="1292"/>
      <c r="Z18" s="1292"/>
      <c r="AA18" s="1292"/>
      <c r="AB18" s="1292"/>
      <c r="AC18" s="1296"/>
      <c r="AD18" s="383"/>
      <c r="AE18" s="1295" t="s">
        <v>621</v>
      </c>
      <c r="AF18" s="1296"/>
      <c r="AG18" s="383"/>
      <c r="AH18" s="1295" t="s">
        <v>622</v>
      </c>
      <c r="AI18" s="1296"/>
      <c r="AJ18" s="383"/>
      <c r="AK18" s="1295" t="s">
        <v>2666</v>
      </c>
      <c r="AL18" s="1292"/>
    </row>
    <row r="19" spans="2:38" ht="15" customHeight="1">
      <c r="B19" s="1292" t="s">
        <v>239</v>
      </c>
      <c r="C19" s="1292"/>
      <c r="D19" s="1292"/>
      <c r="E19" s="1292"/>
      <c r="F19" s="1292"/>
      <c r="G19" s="1292"/>
      <c r="H19" s="1292"/>
      <c r="I19" s="1292"/>
      <c r="J19" s="1292"/>
      <c r="K19" s="1296"/>
      <c r="L19" s="383"/>
      <c r="M19" s="1295" t="s">
        <v>621</v>
      </c>
      <c r="N19" s="1296"/>
      <c r="O19" s="383"/>
      <c r="P19" s="1295" t="s">
        <v>622</v>
      </c>
      <c r="Q19" s="1296"/>
      <c r="R19" s="383"/>
      <c r="S19" s="1295" t="s">
        <v>2666</v>
      </c>
      <c r="T19" s="1292"/>
      <c r="U19" s="1292" t="s">
        <v>240</v>
      </c>
      <c r="V19" s="1292"/>
      <c r="W19" s="1292"/>
      <c r="X19" s="1292"/>
      <c r="Y19" s="1292"/>
      <c r="Z19" s="1292"/>
      <c r="AA19" s="1292"/>
      <c r="AB19" s="1292"/>
      <c r="AC19" s="1296"/>
      <c r="AD19" s="383"/>
      <c r="AE19" s="1295" t="s">
        <v>621</v>
      </c>
      <c r="AF19" s="1296"/>
      <c r="AG19" s="383"/>
      <c r="AH19" s="1295" t="s">
        <v>622</v>
      </c>
      <c r="AI19" s="1296"/>
      <c r="AJ19" s="383"/>
      <c r="AK19" s="1295" t="s">
        <v>2666</v>
      </c>
      <c r="AL19" s="1292"/>
    </row>
    <row r="20" spans="2:38" ht="15" customHeight="1">
      <c r="B20" s="1292" t="s">
        <v>241</v>
      </c>
      <c r="C20" s="1292"/>
      <c r="D20" s="1292"/>
      <c r="E20" s="1292"/>
      <c r="F20" s="1292"/>
      <c r="G20" s="1292"/>
      <c r="H20" s="1292"/>
      <c r="I20" s="1292"/>
      <c r="J20" s="1292"/>
      <c r="K20" s="1296"/>
      <c r="L20" s="383"/>
      <c r="M20" s="1295" t="s">
        <v>621</v>
      </c>
      <c r="N20" s="1296"/>
      <c r="O20" s="383"/>
      <c r="P20" s="1295" t="s">
        <v>622</v>
      </c>
      <c r="Q20" s="1296"/>
      <c r="R20" s="383"/>
      <c r="S20" s="1295" t="s">
        <v>2666</v>
      </c>
      <c r="T20" s="1292"/>
      <c r="U20" s="1292" t="s">
        <v>242</v>
      </c>
      <c r="V20" s="1292"/>
      <c r="W20" s="1292"/>
      <c r="X20" s="1292"/>
      <c r="Y20" s="1292"/>
      <c r="Z20" s="1292"/>
      <c r="AA20" s="1292"/>
      <c r="AB20" s="1292"/>
      <c r="AC20" s="1296"/>
      <c r="AD20" s="383"/>
      <c r="AE20" s="1295" t="s">
        <v>621</v>
      </c>
      <c r="AF20" s="1296"/>
      <c r="AG20" s="383"/>
      <c r="AH20" s="1295" t="s">
        <v>622</v>
      </c>
      <c r="AI20" s="1296"/>
      <c r="AJ20" s="383"/>
      <c r="AK20" s="1295" t="s">
        <v>2666</v>
      </c>
      <c r="AL20" s="1292"/>
    </row>
    <row r="22" spans="1:38" ht="15" customHeight="1">
      <c r="A22" s="382" t="s">
        <v>243</v>
      </c>
      <c r="B22" s="1292" t="s">
        <v>244</v>
      </c>
      <c r="C22" s="1292"/>
      <c r="D22" s="1292"/>
      <c r="E22" s="1292"/>
      <c r="F22" s="1292"/>
      <c r="G22" s="1292"/>
      <c r="H22" s="1292"/>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2"/>
      <c r="AL22" s="1292"/>
    </row>
    <row r="23" spans="1:38" ht="15" customHeight="1">
      <c r="A23" s="382"/>
      <c r="B23" s="1300"/>
      <c r="C23" s="1300"/>
      <c r="D23" s="1300"/>
      <c r="E23" s="1300"/>
      <c r="F23" s="1300"/>
      <c r="G23" s="1300"/>
      <c r="H23" s="1300"/>
      <c r="I23" s="1300"/>
      <c r="J23" s="1300"/>
      <c r="K23" s="1300"/>
      <c r="L23" s="1300"/>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0"/>
      <c r="AL23" s="1300"/>
    </row>
    <row r="24" spans="2:38" ht="15" customHeight="1">
      <c r="B24" s="1301"/>
      <c r="C24" s="1301"/>
      <c r="D24" s="1301"/>
      <c r="E24" s="1301"/>
      <c r="F24" s="1301"/>
      <c r="G24" s="1301"/>
      <c r="H24" s="1301"/>
      <c r="I24" s="1301"/>
      <c r="J24" s="1301"/>
      <c r="K24" s="1301"/>
      <c r="L24" s="1301"/>
      <c r="M24" s="1301"/>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1"/>
      <c r="AL24" s="1301"/>
    </row>
    <row r="25" spans="2:38" ht="15" customHeight="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5"/>
      <c r="AE25" s="384"/>
      <c r="AF25" s="384"/>
      <c r="AG25" s="385"/>
      <c r="AH25" s="384"/>
      <c r="AI25" s="384"/>
      <c r="AJ25" s="384"/>
      <c r="AK25" s="384"/>
      <c r="AL25" s="384"/>
    </row>
    <row r="26" spans="1:35" ht="15" customHeight="1">
      <c r="A26" s="382" t="s">
        <v>245</v>
      </c>
      <c r="B26" s="1302" t="s">
        <v>246</v>
      </c>
      <c r="C26" s="1302"/>
      <c r="D26" s="1302"/>
      <c r="E26" s="1302"/>
      <c r="F26" s="1302"/>
      <c r="G26" s="1302"/>
      <c r="H26" s="1302"/>
      <c r="I26" s="1302"/>
      <c r="J26" s="1302"/>
      <c r="K26" s="1302"/>
      <c r="L26" s="1302"/>
      <c r="M26" s="1302"/>
      <c r="N26" s="1302"/>
      <c r="O26" s="1302"/>
      <c r="P26" s="1302"/>
      <c r="Q26" s="1302"/>
      <c r="R26" s="1302"/>
      <c r="S26" s="1302"/>
      <c r="T26" s="1302"/>
      <c r="U26" s="1302"/>
      <c r="V26" s="1302"/>
      <c r="W26" s="1302"/>
      <c r="X26" s="1302"/>
      <c r="Y26" s="1302"/>
      <c r="Z26" s="1302"/>
      <c r="AA26" s="1302"/>
      <c r="AB26" s="1302"/>
      <c r="AC26" s="1302"/>
      <c r="AD26" s="383"/>
      <c r="AE26" s="1295" t="s">
        <v>621</v>
      </c>
      <c r="AF26" s="1296"/>
      <c r="AG26" s="383"/>
      <c r="AH26" s="1295" t="s">
        <v>622</v>
      </c>
      <c r="AI26" s="1303"/>
    </row>
    <row r="27" spans="2:29" ht="15" customHeight="1">
      <c r="B27" s="1302"/>
      <c r="C27" s="1302"/>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row>
    <row r="28" spans="2:28" ht="15" customHeight="1">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row>
    <row r="29" spans="1:35" ht="15" customHeight="1">
      <c r="A29" s="382" t="s">
        <v>247</v>
      </c>
      <c r="B29" s="1292" t="s">
        <v>248</v>
      </c>
      <c r="C29" s="1292"/>
      <c r="D29" s="1292"/>
      <c r="E29" s="1292"/>
      <c r="F29" s="1292"/>
      <c r="G29" s="1292"/>
      <c r="H29" s="1292"/>
      <c r="I29" s="1292"/>
      <c r="J29" s="1292"/>
      <c r="K29" s="1292"/>
      <c r="L29" s="1292"/>
      <c r="M29" s="1292"/>
      <c r="N29" s="1292"/>
      <c r="O29" s="1292"/>
      <c r="P29" s="1292"/>
      <c r="Q29" s="1292"/>
      <c r="R29" s="1292"/>
      <c r="S29" s="1292"/>
      <c r="T29" s="1292"/>
      <c r="U29" s="1292"/>
      <c r="V29" s="1292"/>
      <c r="W29" s="1292"/>
      <c r="X29" s="1292"/>
      <c r="Y29" s="1292"/>
      <c r="Z29" s="1292"/>
      <c r="AA29" s="1292"/>
      <c r="AB29" s="1292"/>
      <c r="AC29" s="1296"/>
      <c r="AD29" s="383"/>
      <c r="AE29" s="1295" t="s">
        <v>621</v>
      </c>
      <c r="AF29" s="1296"/>
      <c r="AG29" s="383"/>
      <c r="AH29" s="1295" t="s">
        <v>622</v>
      </c>
      <c r="AI29" s="1303"/>
    </row>
    <row r="30" spans="2:35" ht="15" customHeight="1">
      <c r="B30" s="1292" t="s">
        <v>249</v>
      </c>
      <c r="C30" s="1292"/>
      <c r="D30" s="1292"/>
      <c r="E30" s="1292"/>
      <c r="F30" s="1292"/>
      <c r="G30" s="1292"/>
      <c r="H30" s="1292"/>
      <c r="I30" s="1292"/>
      <c r="J30" s="1292"/>
      <c r="K30" s="1292"/>
      <c r="L30" s="1292"/>
      <c r="M30" s="1292"/>
      <c r="N30" s="1292"/>
      <c r="O30" s="1292"/>
      <c r="P30" s="1292"/>
      <c r="Q30" s="1292"/>
      <c r="R30" s="1292"/>
      <c r="S30" s="1292"/>
      <c r="T30" s="1292"/>
      <c r="U30" s="1292"/>
      <c r="V30" s="1292"/>
      <c r="W30" s="1292"/>
      <c r="X30" s="1292"/>
      <c r="Y30" s="1292"/>
      <c r="Z30" s="1292"/>
      <c r="AA30" s="1292"/>
      <c r="AB30" s="1292"/>
      <c r="AC30" s="1296"/>
      <c r="AD30" s="383"/>
      <c r="AE30" s="1295" t="s">
        <v>621</v>
      </c>
      <c r="AF30" s="1296"/>
      <c r="AG30" s="383"/>
      <c r="AH30" s="1295" t="s">
        <v>622</v>
      </c>
      <c r="AI30" s="1303"/>
    </row>
    <row r="32" spans="1:38" ht="15" customHeight="1">
      <c r="A32" s="382" t="s">
        <v>250</v>
      </c>
      <c r="B32" s="1292" t="s">
        <v>251</v>
      </c>
      <c r="C32" s="1292"/>
      <c r="D32" s="1292"/>
      <c r="E32" s="1292"/>
      <c r="F32" s="1292"/>
      <c r="G32" s="1292"/>
      <c r="H32" s="1292"/>
      <c r="I32" s="1292"/>
      <c r="J32" s="1292"/>
      <c r="K32" s="1292"/>
      <c r="L32" s="1292"/>
      <c r="M32" s="1292"/>
      <c r="N32" s="1292"/>
      <c r="O32" s="1292"/>
      <c r="P32" s="1292"/>
      <c r="Q32" s="1292"/>
      <c r="R32" s="1292"/>
      <c r="S32" s="1292"/>
      <c r="T32" s="1292"/>
      <c r="U32" s="1292"/>
      <c r="V32" s="1292"/>
      <c r="W32" s="1301"/>
      <c r="X32" s="1301"/>
      <c r="Y32" s="1301"/>
      <c r="Z32" s="1301"/>
      <c r="AA32" s="1301"/>
      <c r="AB32" s="1301"/>
      <c r="AC32" s="1301"/>
      <c r="AD32" s="1301"/>
      <c r="AE32" s="1301"/>
      <c r="AF32" s="1301"/>
      <c r="AG32" s="1301"/>
      <c r="AH32" s="1301"/>
      <c r="AI32" s="1301"/>
      <c r="AJ32" s="1301"/>
      <c r="AK32" s="1301"/>
      <c r="AL32" s="1301"/>
    </row>
    <row r="34" spans="1:35" ht="15" customHeight="1">
      <c r="A34" s="382" t="s">
        <v>252</v>
      </c>
      <c r="B34" s="1292" t="s">
        <v>253</v>
      </c>
      <c r="C34" s="1292"/>
      <c r="D34" s="1292"/>
      <c r="E34" s="1292"/>
      <c r="F34" s="1292"/>
      <c r="G34" s="1292"/>
      <c r="H34" s="1292"/>
      <c r="I34" s="1292"/>
      <c r="J34" s="1292"/>
      <c r="K34" s="1292"/>
      <c r="L34" s="1292"/>
      <c r="M34" s="1292"/>
      <c r="N34" s="1292"/>
      <c r="O34" s="1292"/>
      <c r="P34" s="1292"/>
      <c r="Q34" s="1292"/>
      <c r="R34" s="1292"/>
      <c r="S34" s="1292"/>
      <c r="T34" s="1292"/>
      <c r="U34" s="1292"/>
      <c r="V34" s="1292"/>
      <c r="W34" s="1292"/>
      <c r="X34" s="1292"/>
      <c r="Y34" s="1292"/>
      <c r="Z34" s="1292"/>
      <c r="AA34" s="1292"/>
      <c r="AB34" s="1292"/>
      <c r="AC34" s="1296"/>
      <c r="AD34" s="383"/>
      <c r="AE34" s="1295" t="s">
        <v>621</v>
      </c>
      <c r="AF34" s="1296"/>
      <c r="AG34" s="383"/>
      <c r="AH34" s="1295" t="s">
        <v>622</v>
      </c>
      <c r="AI34" s="1303"/>
    </row>
    <row r="35" spans="1:33" s="388" customFormat="1" ht="15" customHeight="1">
      <c r="A35" s="387"/>
      <c r="AD35" s="389"/>
      <c r="AG35" s="389"/>
    </row>
    <row r="36" spans="1:38" ht="15" customHeight="1">
      <c r="A36" s="382" t="s">
        <v>254</v>
      </c>
      <c r="B36" s="1292" t="s">
        <v>255</v>
      </c>
      <c r="C36" s="1292"/>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1292"/>
      <c r="AB36" s="1292"/>
      <c r="AC36" s="1296"/>
      <c r="AD36" s="383"/>
      <c r="AE36" s="1295" t="s">
        <v>621</v>
      </c>
      <c r="AF36" s="1296"/>
      <c r="AG36" s="383"/>
      <c r="AH36" s="1295" t="s">
        <v>622</v>
      </c>
      <c r="AI36" s="1303"/>
      <c r="AJ36" s="383"/>
      <c r="AK36" s="1295" t="s">
        <v>2666</v>
      </c>
      <c r="AL36" s="1292"/>
    </row>
    <row r="37" spans="1:36" s="388" customFormat="1" ht="15" customHeight="1">
      <c r="A37" s="387"/>
      <c r="AD37" s="389"/>
      <c r="AG37" s="389"/>
      <c r="AJ37" s="389"/>
    </row>
    <row r="38" spans="1:38" ht="15" customHeight="1">
      <c r="A38" s="382" t="s">
        <v>256</v>
      </c>
      <c r="B38" s="1292" t="s">
        <v>257</v>
      </c>
      <c r="C38" s="1292"/>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6"/>
      <c r="AD38" s="383"/>
      <c r="AE38" s="1295" t="s">
        <v>621</v>
      </c>
      <c r="AF38" s="1296"/>
      <c r="AG38" s="383"/>
      <c r="AH38" s="1295" t="s">
        <v>622</v>
      </c>
      <c r="AI38" s="1303"/>
      <c r="AJ38" s="383"/>
      <c r="AK38" s="1295" t="s">
        <v>2666</v>
      </c>
      <c r="AL38" s="1292"/>
    </row>
    <row r="39" spans="1:36" s="388" customFormat="1" ht="15" customHeight="1">
      <c r="A39" s="387"/>
      <c r="AD39" s="390"/>
      <c r="AG39" s="390"/>
      <c r="AJ39" s="391"/>
    </row>
    <row r="40" spans="1:38" s="388" customFormat="1" ht="15" customHeight="1">
      <c r="A40" s="387" t="s">
        <v>258</v>
      </c>
      <c r="B40" s="1304" t="s">
        <v>3126</v>
      </c>
      <c r="C40" s="1304"/>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304"/>
      <c r="AA40" s="1304"/>
      <c r="AB40" s="1304"/>
      <c r="AC40" s="1304"/>
      <c r="AD40" s="1304"/>
      <c r="AE40" s="1304"/>
      <c r="AF40" s="1304"/>
      <c r="AG40" s="1304"/>
      <c r="AH40" s="1304"/>
      <c r="AI40" s="1304"/>
      <c r="AJ40" s="1304"/>
      <c r="AK40" s="1304"/>
      <c r="AL40" s="1304"/>
    </row>
    <row r="41" spans="2:38" ht="15" customHeight="1">
      <c r="B41" s="1292" t="s">
        <v>3127</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6"/>
      <c r="AD41" s="383"/>
      <c r="AE41" s="1295" t="s">
        <v>621</v>
      </c>
      <c r="AF41" s="1296"/>
      <c r="AG41" s="383"/>
      <c r="AH41" s="1295" t="s">
        <v>622</v>
      </c>
      <c r="AI41" s="1303"/>
      <c r="AJ41" s="383"/>
      <c r="AK41" s="1295" t="s">
        <v>2666</v>
      </c>
      <c r="AL41" s="1292"/>
    </row>
    <row r="42" spans="2:38" ht="15" customHeight="1">
      <c r="B42" s="1292" t="s">
        <v>3128</v>
      </c>
      <c r="C42" s="1292"/>
      <c r="D42" s="1292"/>
      <c r="E42" s="1292"/>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1292"/>
      <c r="AB42" s="1292"/>
      <c r="AC42" s="1296"/>
      <c r="AD42" s="383"/>
      <c r="AE42" s="1295" t="s">
        <v>621</v>
      </c>
      <c r="AF42" s="1296"/>
      <c r="AG42" s="383"/>
      <c r="AH42" s="1295" t="s">
        <v>622</v>
      </c>
      <c r="AI42" s="1303"/>
      <c r="AJ42" s="383"/>
      <c r="AK42" s="1295" t="s">
        <v>2666</v>
      </c>
      <c r="AL42" s="1292"/>
    </row>
    <row r="43" spans="2:38" ht="15" customHeight="1">
      <c r="B43" s="1292" t="s">
        <v>3129</v>
      </c>
      <c r="C43" s="1292"/>
      <c r="D43" s="1292"/>
      <c r="E43" s="1292"/>
      <c r="F43" s="1292"/>
      <c r="G43" s="1292"/>
      <c r="H43" s="1292"/>
      <c r="I43" s="1292"/>
      <c r="J43" s="1292"/>
      <c r="K43" s="1292"/>
      <c r="L43" s="1292"/>
      <c r="M43" s="1292"/>
      <c r="N43" s="1292"/>
      <c r="O43" s="1292"/>
      <c r="P43" s="1292"/>
      <c r="Q43" s="1292"/>
      <c r="R43" s="1292"/>
      <c r="S43" s="1292"/>
      <c r="T43" s="1292"/>
      <c r="U43" s="1292"/>
      <c r="V43" s="1292"/>
      <c r="W43" s="1292"/>
      <c r="X43" s="1292"/>
      <c r="Y43" s="1292"/>
      <c r="Z43" s="1292"/>
      <c r="AA43" s="1292"/>
      <c r="AB43" s="1292"/>
      <c r="AC43" s="1296"/>
      <c r="AD43" s="383"/>
      <c r="AE43" s="1295" t="s">
        <v>621</v>
      </c>
      <c r="AF43" s="1296"/>
      <c r="AG43" s="383"/>
      <c r="AH43" s="1295" t="s">
        <v>622</v>
      </c>
      <c r="AI43" s="1303"/>
      <c r="AJ43" s="383"/>
      <c r="AK43" s="1295" t="s">
        <v>2666</v>
      </c>
      <c r="AL43" s="1292"/>
    </row>
    <row r="44" spans="2:38" ht="15" customHeight="1">
      <c r="B44" s="1292" t="s">
        <v>3130</v>
      </c>
      <c r="C44" s="1292"/>
      <c r="D44" s="1292"/>
      <c r="E44" s="1292"/>
      <c r="F44" s="1292"/>
      <c r="G44" s="1292"/>
      <c r="H44" s="1292"/>
      <c r="I44" s="1292"/>
      <c r="J44" s="1292"/>
      <c r="K44" s="1292"/>
      <c r="L44" s="1292"/>
      <c r="M44" s="1292"/>
      <c r="N44" s="1292"/>
      <c r="O44" s="1292"/>
      <c r="P44" s="1292"/>
      <c r="Q44" s="1292"/>
      <c r="R44" s="1292"/>
      <c r="S44" s="1292"/>
      <c r="T44" s="1292"/>
      <c r="U44" s="1292"/>
      <c r="V44" s="1292"/>
      <c r="W44" s="1292"/>
      <c r="X44" s="1292"/>
      <c r="Y44" s="1292"/>
      <c r="Z44" s="1292"/>
      <c r="AA44" s="1292"/>
      <c r="AB44" s="1292"/>
      <c r="AC44" s="1296"/>
      <c r="AD44" s="383"/>
      <c r="AE44" s="1295" t="s">
        <v>621</v>
      </c>
      <c r="AF44" s="1296"/>
      <c r="AG44" s="383"/>
      <c r="AH44" s="1295" t="s">
        <v>622</v>
      </c>
      <c r="AI44" s="1303"/>
      <c r="AJ44" s="383"/>
      <c r="AK44" s="1295" t="s">
        <v>2666</v>
      </c>
      <c r="AL44" s="1292"/>
    </row>
    <row r="46" spans="1:35" ht="15" customHeight="1">
      <c r="A46" s="382" t="s">
        <v>3131</v>
      </c>
      <c r="B46" s="1292" t="s">
        <v>1012</v>
      </c>
      <c r="C46" s="1292"/>
      <c r="D46" s="1292"/>
      <c r="E46" s="1292"/>
      <c r="F46" s="1292"/>
      <c r="G46" s="1292"/>
      <c r="H46" s="1292"/>
      <c r="I46" s="1292"/>
      <c r="J46" s="1292"/>
      <c r="K46" s="1292"/>
      <c r="L46" s="1292"/>
      <c r="M46" s="1292"/>
      <c r="N46" s="1292"/>
      <c r="O46" s="1292"/>
      <c r="P46" s="1292"/>
      <c r="Q46" s="1292"/>
      <c r="R46" s="1292"/>
      <c r="S46" s="1292"/>
      <c r="T46" s="1292"/>
      <c r="U46" s="1292"/>
      <c r="V46" s="1292"/>
      <c r="W46" s="1292"/>
      <c r="X46" s="1292"/>
      <c r="Y46" s="1292"/>
      <c r="Z46" s="1292"/>
      <c r="AA46" s="1292"/>
      <c r="AB46" s="1292"/>
      <c r="AC46" s="1296"/>
      <c r="AD46" s="383"/>
      <c r="AE46" s="1295" t="s">
        <v>621</v>
      </c>
      <c r="AF46" s="1296"/>
      <c r="AG46" s="383"/>
      <c r="AH46" s="1295" t="s">
        <v>622</v>
      </c>
      <c r="AI46" s="1303"/>
    </row>
    <row r="47" spans="2:31" ht="15" customHeight="1">
      <c r="B47" s="1292" t="s">
        <v>1013</v>
      </c>
      <c r="C47" s="1292"/>
      <c r="D47" s="1292"/>
      <c r="E47" s="1292"/>
      <c r="F47" s="1292"/>
      <c r="G47" s="1292"/>
      <c r="H47" s="1292"/>
      <c r="I47" s="1292"/>
      <c r="J47" s="1292"/>
      <c r="K47" s="1292"/>
      <c r="L47" s="1292"/>
      <c r="M47" s="1292"/>
      <c r="N47" s="1292"/>
      <c r="O47" s="1292"/>
      <c r="P47" s="1292"/>
      <c r="Q47" s="1292"/>
      <c r="R47" s="1292"/>
      <c r="S47" s="1292"/>
      <c r="T47" s="1292"/>
      <c r="U47" s="1292"/>
      <c r="V47" s="1292"/>
      <c r="W47" s="1292"/>
      <c r="X47" s="1292"/>
      <c r="Y47" s="1292"/>
      <c r="Z47" s="1292"/>
      <c r="AA47" s="1292"/>
      <c r="AB47" s="1292"/>
      <c r="AC47" s="1296"/>
      <c r="AD47" s="383"/>
      <c r="AE47" s="4" t="s">
        <v>1014</v>
      </c>
    </row>
    <row r="48" spans="2:31" ht="15" customHeight="1">
      <c r="B48" s="1292" t="s">
        <v>1015</v>
      </c>
      <c r="C48" s="1292"/>
      <c r="D48" s="1292"/>
      <c r="E48" s="1292"/>
      <c r="F48" s="1292"/>
      <c r="G48" s="1292"/>
      <c r="H48" s="1292"/>
      <c r="I48" s="1292"/>
      <c r="J48" s="1292"/>
      <c r="K48" s="1292"/>
      <c r="L48" s="1292"/>
      <c r="M48" s="1292"/>
      <c r="N48" s="1292"/>
      <c r="O48" s="1292"/>
      <c r="P48" s="1292"/>
      <c r="Q48" s="1292"/>
      <c r="R48" s="1292"/>
      <c r="S48" s="1292"/>
      <c r="T48" s="1292"/>
      <c r="U48" s="1292"/>
      <c r="V48" s="1292"/>
      <c r="W48" s="1292"/>
      <c r="X48" s="1292"/>
      <c r="Y48" s="1292"/>
      <c r="Z48" s="1292"/>
      <c r="AA48" s="1292"/>
      <c r="AB48" s="1292"/>
      <c r="AC48" s="1296"/>
      <c r="AD48" s="383"/>
      <c r="AE48" s="4" t="s">
        <v>1014</v>
      </c>
    </row>
    <row r="50" spans="1:38" ht="15" customHeight="1">
      <c r="A50" s="1299" t="s">
        <v>1016</v>
      </c>
      <c r="B50" s="1299"/>
      <c r="C50" s="1299"/>
      <c r="D50" s="1299"/>
      <c r="E50" s="1299"/>
      <c r="F50" s="1299"/>
      <c r="G50" s="1299"/>
      <c r="H50" s="1299"/>
      <c r="I50" s="1299"/>
      <c r="J50" s="1299"/>
      <c r="K50" s="1299"/>
      <c r="L50" s="1299"/>
      <c r="M50" s="1299"/>
      <c r="N50" s="1299"/>
      <c r="O50" s="1299"/>
      <c r="P50" s="1299"/>
      <c r="Q50" s="1299"/>
      <c r="R50" s="1299"/>
      <c r="S50" s="1299"/>
      <c r="T50" s="1299"/>
      <c r="U50" s="1299"/>
      <c r="V50" s="1299"/>
      <c r="W50" s="1299"/>
      <c r="X50" s="1299"/>
      <c r="Y50" s="1299"/>
      <c r="Z50" s="1299"/>
      <c r="AA50" s="1299"/>
      <c r="AB50" s="1299"/>
      <c r="AC50" s="1299"/>
      <c r="AD50" s="1299"/>
      <c r="AE50" s="1299"/>
      <c r="AF50" s="1299"/>
      <c r="AG50" s="1299"/>
      <c r="AH50" s="1299"/>
      <c r="AI50" s="1299"/>
      <c r="AJ50" s="1299"/>
      <c r="AK50" s="1299"/>
      <c r="AL50" s="1299"/>
    </row>
    <row r="51" spans="1:38" ht="15" customHeight="1">
      <c r="A51" s="382" t="s">
        <v>1017</v>
      </c>
      <c r="B51" s="1292" t="s">
        <v>1018</v>
      </c>
      <c r="C51" s="1292"/>
      <c r="D51" s="1292"/>
      <c r="E51" s="1292"/>
      <c r="F51" s="1292"/>
      <c r="G51" s="1292"/>
      <c r="H51" s="1292"/>
      <c r="I51" s="1292"/>
      <c r="J51" s="1292"/>
      <c r="K51" s="1292"/>
      <c r="L51" s="1292"/>
      <c r="M51" s="1292"/>
      <c r="N51" s="1292"/>
      <c r="O51" s="1301"/>
      <c r="P51" s="1301"/>
      <c r="Q51" s="1301"/>
      <c r="R51" s="1301"/>
      <c r="S51" s="1301"/>
      <c r="T51" s="1301"/>
      <c r="U51" s="1301"/>
      <c r="V51" s="1301"/>
      <c r="W51" s="1301"/>
      <c r="X51" s="1301"/>
      <c r="Y51" s="1301"/>
      <c r="Z51" s="1301"/>
      <c r="AA51" s="1301"/>
      <c r="AB51" s="1301"/>
      <c r="AC51" s="1301"/>
      <c r="AD51" s="1301"/>
      <c r="AE51" s="1301"/>
      <c r="AF51" s="1301"/>
      <c r="AG51" s="1301"/>
      <c r="AH51" s="1301"/>
      <c r="AI51" s="1301"/>
      <c r="AJ51" s="1301"/>
      <c r="AK51" s="1301"/>
      <c r="AL51" s="1301"/>
    </row>
    <row r="52" spans="2:38" ht="15" customHeight="1">
      <c r="B52" s="1292" t="s">
        <v>1019</v>
      </c>
      <c r="C52" s="1292"/>
      <c r="D52" s="1292"/>
      <c r="E52" s="1292"/>
      <c r="F52" s="1292"/>
      <c r="G52" s="1292"/>
      <c r="H52" s="1292"/>
      <c r="I52" s="1292"/>
      <c r="J52" s="1292"/>
      <c r="K52" s="1292"/>
      <c r="L52" s="1292"/>
      <c r="M52" s="1292"/>
      <c r="N52" s="1292"/>
      <c r="O52" s="1301"/>
      <c r="P52" s="1301"/>
      <c r="Q52" s="1301"/>
      <c r="R52" s="1301"/>
      <c r="S52" s="1301"/>
      <c r="T52" s="1301"/>
      <c r="U52" s="1301"/>
      <c r="V52" s="1301"/>
      <c r="W52" s="1301"/>
      <c r="X52" s="1301"/>
      <c r="Y52" s="1301"/>
      <c r="Z52" s="1301"/>
      <c r="AA52" s="1301"/>
      <c r="AB52" s="1301"/>
      <c r="AC52" s="1301"/>
      <c r="AD52" s="1301"/>
      <c r="AE52" s="1301"/>
      <c r="AF52" s="1301"/>
      <c r="AG52" s="1301"/>
      <c r="AH52" s="1301"/>
      <c r="AI52" s="1301"/>
      <c r="AJ52" s="1301"/>
      <c r="AK52" s="1301"/>
      <c r="AL52" s="1301"/>
    </row>
    <row r="53" spans="30:33" s="388" customFormat="1" ht="15" customHeight="1">
      <c r="AD53" s="392"/>
      <c r="AG53" s="392"/>
    </row>
    <row r="54" spans="1:35" ht="15" customHeight="1">
      <c r="A54" s="382" t="s">
        <v>1020</v>
      </c>
      <c r="B54" s="1292" t="s">
        <v>1021</v>
      </c>
      <c r="C54" s="1292"/>
      <c r="D54" s="1292"/>
      <c r="E54" s="1292"/>
      <c r="F54" s="1292"/>
      <c r="G54" s="1292"/>
      <c r="H54" s="1292"/>
      <c r="I54" s="1292"/>
      <c r="J54" s="1292"/>
      <c r="K54" s="1292"/>
      <c r="L54" s="1292"/>
      <c r="M54" s="1292"/>
      <c r="N54" s="1292"/>
      <c r="O54" s="1292"/>
      <c r="P54" s="1292"/>
      <c r="Q54" s="1292"/>
      <c r="R54" s="1292"/>
      <c r="S54" s="1292"/>
      <c r="T54" s="1292"/>
      <c r="U54" s="1292"/>
      <c r="V54" s="1292"/>
      <c r="W54" s="1292"/>
      <c r="X54" s="1292"/>
      <c r="Y54" s="1292"/>
      <c r="Z54" s="1292"/>
      <c r="AA54" s="1292"/>
      <c r="AB54" s="1292"/>
      <c r="AC54" s="1296"/>
      <c r="AD54" s="383"/>
      <c r="AE54" s="1295" t="s">
        <v>621</v>
      </c>
      <c r="AF54" s="1296"/>
      <c r="AG54" s="383"/>
      <c r="AH54" s="1295" t="s">
        <v>622</v>
      </c>
      <c r="AI54" s="1303"/>
    </row>
    <row r="55" spans="1:33" s="388" customFormat="1" ht="15" customHeight="1">
      <c r="A55" s="387"/>
      <c r="AD55" s="389"/>
      <c r="AG55" s="389"/>
    </row>
    <row r="56" spans="1:38" ht="15" customHeight="1">
      <c r="A56" s="382" t="s">
        <v>1022</v>
      </c>
      <c r="B56" s="1292" t="s">
        <v>1023</v>
      </c>
      <c r="C56" s="1292"/>
      <c r="D56" s="1292"/>
      <c r="E56" s="1292"/>
      <c r="F56" s="1292"/>
      <c r="G56" s="1292"/>
      <c r="H56" s="1292"/>
      <c r="I56" s="1292"/>
      <c r="J56" s="1292"/>
      <c r="K56" s="1292"/>
      <c r="L56" s="1292"/>
      <c r="M56" s="1292"/>
      <c r="N56" s="1292"/>
      <c r="O56" s="1292"/>
      <c r="P56" s="1292"/>
      <c r="Q56" s="1292"/>
      <c r="R56" s="1292"/>
      <c r="S56" s="1292"/>
      <c r="T56" s="1292"/>
      <c r="U56" s="1292"/>
      <c r="V56" s="1292"/>
      <c r="W56" s="1292"/>
      <c r="X56" s="1296"/>
      <c r="Y56" s="383"/>
      <c r="Z56" s="1295" t="s">
        <v>1024</v>
      </c>
      <c r="AA56" s="1292"/>
      <c r="AB56" s="1292"/>
      <c r="AC56" s="1292"/>
      <c r="AD56" s="383"/>
      <c r="AE56" s="4" t="s">
        <v>1025</v>
      </c>
      <c r="AG56" s="383"/>
      <c r="AH56" s="1295" t="s">
        <v>1026</v>
      </c>
      <c r="AI56" s="1292"/>
      <c r="AJ56" s="1292"/>
      <c r="AK56" s="1292"/>
      <c r="AL56" s="1292"/>
    </row>
    <row r="57" spans="1:33" s="388" customFormat="1" ht="15" customHeight="1">
      <c r="A57" s="387"/>
      <c r="Y57" s="391"/>
      <c r="AD57" s="389"/>
      <c r="AG57" s="389"/>
    </row>
    <row r="58" spans="1:35" ht="15" customHeight="1">
      <c r="A58" s="382" t="s">
        <v>1027</v>
      </c>
      <c r="B58" s="1292" t="s">
        <v>1028</v>
      </c>
      <c r="C58" s="1292"/>
      <c r="D58" s="1292"/>
      <c r="E58" s="1292"/>
      <c r="F58" s="1292"/>
      <c r="G58" s="1292"/>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6"/>
      <c r="AD58" s="383"/>
      <c r="AE58" s="1295" t="s">
        <v>621</v>
      </c>
      <c r="AF58" s="1296"/>
      <c r="AG58" s="383"/>
      <c r="AH58" s="1295" t="s">
        <v>622</v>
      </c>
      <c r="AI58" s="1303"/>
    </row>
    <row r="59" spans="1:33" s="388" customFormat="1" ht="15" customHeight="1">
      <c r="A59" s="387"/>
      <c r="AD59" s="389"/>
      <c r="AG59" s="389"/>
    </row>
    <row r="60" spans="1:35" ht="15" customHeight="1">
      <c r="A60" s="382" t="s">
        <v>1029</v>
      </c>
      <c r="B60" s="1302" t="s">
        <v>1030</v>
      </c>
      <c r="C60" s="1302"/>
      <c r="D60" s="1302"/>
      <c r="E60" s="1302"/>
      <c r="F60" s="1302"/>
      <c r="G60" s="1302"/>
      <c r="H60" s="1302"/>
      <c r="I60" s="1302"/>
      <c r="J60" s="1302"/>
      <c r="K60" s="1302"/>
      <c r="L60" s="1302"/>
      <c r="M60" s="1302"/>
      <c r="N60" s="1302"/>
      <c r="O60" s="1302"/>
      <c r="P60" s="1302"/>
      <c r="Q60" s="1302"/>
      <c r="R60" s="1302"/>
      <c r="S60" s="1302"/>
      <c r="T60" s="1302"/>
      <c r="U60" s="1302"/>
      <c r="V60" s="1302"/>
      <c r="W60" s="1302"/>
      <c r="X60" s="1302"/>
      <c r="Y60" s="1302"/>
      <c r="Z60" s="1302"/>
      <c r="AA60" s="1302"/>
      <c r="AB60" s="1302"/>
      <c r="AC60" s="1305"/>
      <c r="AD60" s="383"/>
      <c r="AE60" s="1295" t="s">
        <v>621</v>
      </c>
      <c r="AF60" s="1296"/>
      <c r="AG60" s="383"/>
      <c r="AH60" s="1295" t="s">
        <v>622</v>
      </c>
      <c r="AI60" s="1303"/>
    </row>
    <row r="61" spans="2:30" s="388" customFormat="1" ht="15" customHeight="1">
      <c r="B61" s="1302"/>
      <c r="C61" s="1302"/>
      <c r="D61" s="1302"/>
      <c r="E61" s="1302"/>
      <c r="F61" s="1302"/>
      <c r="G61" s="1302"/>
      <c r="H61" s="1302"/>
      <c r="I61" s="1302"/>
      <c r="J61" s="1302"/>
      <c r="K61" s="1302"/>
      <c r="L61" s="1302"/>
      <c r="M61" s="1302"/>
      <c r="N61" s="1302"/>
      <c r="O61" s="1302"/>
      <c r="P61" s="1302"/>
      <c r="Q61" s="1302"/>
      <c r="R61" s="1302"/>
      <c r="S61" s="1302"/>
      <c r="T61" s="1302"/>
      <c r="U61" s="1302"/>
      <c r="V61" s="1302"/>
      <c r="W61" s="1302"/>
      <c r="X61" s="1302"/>
      <c r="Y61" s="1302"/>
      <c r="Z61" s="1302"/>
      <c r="AA61" s="1302"/>
      <c r="AB61" s="1302"/>
      <c r="AC61" s="1306"/>
      <c r="AD61" s="393"/>
    </row>
    <row r="62" spans="2:30" s="388" customFormat="1" ht="15" customHeight="1">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2"/>
    </row>
    <row r="63" spans="1:35" ht="15" customHeight="1">
      <c r="A63" s="382" t="s">
        <v>1031</v>
      </c>
      <c r="B63" s="1302" t="s">
        <v>1032</v>
      </c>
      <c r="C63" s="1302"/>
      <c r="D63" s="1302"/>
      <c r="E63" s="1302"/>
      <c r="F63" s="1302"/>
      <c r="G63" s="1302"/>
      <c r="H63" s="1302"/>
      <c r="I63" s="1302"/>
      <c r="J63" s="1302"/>
      <c r="K63" s="1302"/>
      <c r="L63" s="1302"/>
      <c r="M63" s="1302"/>
      <c r="N63" s="1302"/>
      <c r="O63" s="1302"/>
      <c r="P63" s="1302"/>
      <c r="Q63" s="1302"/>
      <c r="R63" s="1302"/>
      <c r="S63" s="1302"/>
      <c r="T63" s="1302"/>
      <c r="U63" s="1302"/>
      <c r="V63" s="1302"/>
      <c r="W63" s="1302"/>
      <c r="X63" s="1302"/>
      <c r="Y63" s="1302"/>
      <c r="Z63" s="1302"/>
      <c r="AA63" s="1302"/>
      <c r="AB63" s="1302"/>
      <c r="AC63" s="1302"/>
      <c r="AD63" s="383"/>
      <c r="AE63" s="1295" t="s">
        <v>621</v>
      </c>
      <c r="AF63" s="1296"/>
      <c r="AG63" s="383"/>
      <c r="AH63" s="1295" t="s">
        <v>622</v>
      </c>
      <c r="AI63" s="1303"/>
    </row>
    <row r="64" spans="2:30" ht="15" customHeight="1">
      <c r="B64" s="1302"/>
      <c r="C64" s="1302"/>
      <c r="D64" s="1302"/>
      <c r="E64" s="1302"/>
      <c r="F64" s="1302"/>
      <c r="G64" s="1302"/>
      <c r="H64" s="1302"/>
      <c r="I64" s="1302"/>
      <c r="J64" s="1302"/>
      <c r="K64" s="1302"/>
      <c r="L64" s="1302"/>
      <c r="M64" s="1302"/>
      <c r="N64" s="1302"/>
      <c r="O64" s="1302"/>
      <c r="P64" s="1302"/>
      <c r="Q64" s="1302"/>
      <c r="R64" s="1302"/>
      <c r="S64" s="1302"/>
      <c r="T64" s="1302"/>
      <c r="U64" s="1302"/>
      <c r="V64" s="1302"/>
      <c r="W64" s="1302"/>
      <c r="X64" s="1302"/>
      <c r="Y64" s="1302"/>
      <c r="Z64" s="1302"/>
      <c r="AA64" s="1302"/>
      <c r="AB64" s="1302"/>
      <c r="AC64" s="1302"/>
      <c r="AD64" s="395"/>
    </row>
    <row r="65" spans="2:30" ht="15" customHeight="1">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386"/>
    </row>
    <row r="66" spans="1:38" ht="15" customHeight="1">
      <c r="A66" s="1292" t="s">
        <v>1033</v>
      </c>
      <c r="B66" s="1292"/>
      <c r="C66" s="1292"/>
      <c r="D66" s="1292"/>
      <c r="E66" s="1292"/>
      <c r="F66" s="1301"/>
      <c r="G66" s="1301"/>
      <c r="H66" s="1301"/>
      <c r="I66" s="1301"/>
      <c r="J66" s="1301"/>
      <c r="K66" s="1301"/>
      <c r="L66" s="1301"/>
      <c r="M66" s="1301"/>
      <c r="N66" s="1301"/>
      <c r="O66" s="1301"/>
      <c r="P66" s="1301"/>
      <c r="Q66" s="1301"/>
      <c r="R66" s="1301"/>
      <c r="S66" s="1301"/>
      <c r="T66" s="1301"/>
      <c r="U66" s="1301"/>
      <c r="V66" s="1301"/>
      <c r="W66" s="1301"/>
      <c r="X66" s="1301"/>
      <c r="Y66" s="1301"/>
      <c r="Z66" s="1301"/>
      <c r="AA66" s="1301"/>
      <c r="AB66" s="1301"/>
      <c r="AC66" s="1301"/>
      <c r="AD66" s="1301"/>
      <c r="AE66" s="1301"/>
      <c r="AF66" s="1301"/>
      <c r="AG66" s="1301"/>
      <c r="AH66" s="1301"/>
      <c r="AI66" s="1301"/>
      <c r="AJ66" s="1301"/>
      <c r="AK66" s="1301"/>
      <c r="AL66" s="1301"/>
    </row>
    <row r="68" spans="1:38" ht="15" customHeight="1">
      <c r="A68" s="1299" t="s">
        <v>1034</v>
      </c>
      <c r="B68" s="1299"/>
      <c r="C68" s="1299"/>
      <c r="D68" s="1299"/>
      <c r="E68" s="1299"/>
      <c r="F68" s="1299"/>
      <c r="G68" s="1299"/>
      <c r="H68" s="1299"/>
      <c r="I68" s="1299"/>
      <c r="J68" s="1299"/>
      <c r="K68" s="1299"/>
      <c r="L68" s="1299"/>
      <c r="M68" s="1299"/>
      <c r="N68" s="1299"/>
      <c r="O68" s="1299"/>
      <c r="P68" s="1299"/>
      <c r="Q68" s="1299"/>
      <c r="R68" s="1299"/>
      <c r="S68" s="1299"/>
      <c r="T68" s="1299"/>
      <c r="U68" s="1299"/>
      <c r="V68" s="1299"/>
      <c r="W68" s="1299"/>
      <c r="X68" s="1299"/>
      <c r="Y68" s="1299"/>
      <c r="Z68" s="1299"/>
      <c r="AA68" s="1299"/>
      <c r="AB68" s="1299"/>
      <c r="AC68" s="1299"/>
      <c r="AD68" s="1299"/>
      <c r="AE68" s="1299"/>
      <c r="AF68" s="1299"/>
      <c r="AG68" s="1299"/>
      <c r="AH68" s="1299"/>
      <c r="AI68" s="1299"/>
      <c r="AJ68" s="1299"/>
      <c r="AK68" s="1299"/>
      <c r="AL68" s="1299"/>
    </row>
    <row r="69" spans="1:35" ht="15" customHeight="1">
      <c r="A69" s="382" t="s">
        <v>1035</v>
      </c>
      <c r="B69" s="1292" t="s">
        <v>1036</v>
      </c>
      <c r="C69" s="1292"/>
      <c r="D69" s="1292"/>
      <c r="E69" s="1292"/>
      <c r="F69" s="1292"/>
      <c r="G69" s="1292"/>
      <c r="H69" s="1292"/>
      <c r="I69" s="1292"/>
      <c r="J69" s="1292"/>
      <c r="K69" s="1292"/>
      <c r="L69" s="1292"/>
      <c r="M69" s="1292"/>
      <c r="N69" s="1292"/>
      <c r="O69" s="1292"/>
      <c r="P69" s="1292"/>
      <c r="Q69" s="1292"/>
      <c r="R69" s="1292"/>
      <c r="S69" s="1292"/>
      <c r="T69" s="1292"/>
      <c r="U69" s="1292"/>
      <c r="V69" s="1292"/>
      <c r="W69" s="1292"/>
      <c r="X69" s="1292"/>
      <c r="Y69" s="1292"/>
      <c r="Z69" s="1292"/>
      <c r="AA69" s="1292"/>
      <c r="AB69" s="1292"/>
      <c r="AC69" s="1296"/>
      <c r="AD69" s="383"/>
      <c r="AE69" s="1295" t="s">
        <v>621</v>
      </c>
      <c r="AF69" s="1296"/>
      <c r="AG69" s="383"/>
      <c r="AH69" s="1295" t="s">
        <v>622</v>
      </c>
      <c r="AI69" s="1303"/>
    </row>
    <row r="70" spans="1:33" s="388" customFormat="1" ht="15" customHeight="1">
      <c r="A70" s="387"/>
      <c r="AD70" s="389"/>
      <c r="AG70" s="389"/>
    </row>
    <row r="71" spans="1:35" ht="15" customHeight="1">
      <c r="A71" s="382" t="s">
        <v>1037</v>
      </c>
      <c r="B71" s="1292" t="s">
        <v>1038</v>
      </c>
      <c r="C71" s="1292"/>
      <c r="D71" s="1292"/>
      <c r="E71" s="1292"/>
      <c r="F71" s="1292"/>
      <c r="G71" s="1292"/>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6"/>
      <c r="AD71" s="383"/>
      <c r="AE71" s="1295" t="s">
        <v>621</v>
      </c>
      <c r="AF71" s="1296"/>
      <c r="AG71" s="383"/>
      <c r="AH71" s="1295" t="s">
        <v>622</v>
      </c>
      <c r="AI71" s="1303"/>
    </row>
    <row r="72" spans="1:33" s="388" customFormat="1" ht="15" customHeight="1">
      <c r="A72" s="387"/>
      <c r="AD72" s="389"/>
      <c r="AG72" s="389"/>
    </row>
    <row r="73" spans="1:35" ht="15" customHeight="1">
      <c r="A73" s="382" t="s">
        <v>1039</v>
      </c>
      <c r="B73" s="1292" t="s">
        <v>1040</v>
      </c>
      <c r="C73" s="1292"/>
      <c r="D73" s="1292"/>
      <c r="E73" s="1292"/>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292"/>
      <c r="AC73" s="1296"/>
      <c r="AD73" s="383"/>
      <c r="AE73" s="1295" t="s">
        <v>621</v>
      </c>
      <c r="AF73" s="1296"/>
      <c r="AG73" s="383"/>
      <c r="AH73" s="1295" t="s">
        <v>622</v>
      </c>
      <c r="AI73" s="1303"/>
    </row>
    <row r="74" spans="1:33" s="388" customFormat="1" ht="15" customHeight="1">
      <c r="A74" s="387"/>
      <c r="AD74" s="389"/>
      <c r="AG74" s="389"/>
    </row>
    <row r="75" spans="1:35" ht="15" customHeight="1">
      <c r="A75" s="382" t="s">
        <v>1041</v>
      </c>
      <c r="B75" s="1292" t="s">
        <v>1042</v>
      </c>
      <c r="C75" s="1292"/>
      <c r="D75" s="1292"/>
      <c r="E75" s="1292"/>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292"/>
      <c r="AC75" s="1296"/>
      <c r="AD75" s="383"/>
      <c r="AE75" s="1295" t="s">
        <v>621</v>
      </c>
      <c r="AF75" s="1296"/>
      <c r="AG75" s="383"/>
      <c r="AH75" s="1295" t="s">
        <v>622</v>
      </c>
      <c r="AI75" s="1303"/>
    </row>
    <row r="76" spans="1:33" s="388" customFormat="1" ht="15" customHeight="1">
      <c r="A76" s="387"/>
      <c r="AD76" s="391"/>
      <c r="AG76" s="391"/>
    </row>
    <row r="77" spans="1:38" ht="15" customHeight="1">
      <c r="A77" s="1292" t="s">
        <v>1033</v>
      </c>
      <c r="B77" s="1292"/>
      <c r="C77" s="1292"/>
      <c r="D77" s="1292"/>
      <c r="E77" s="1292"/>
      <c r="F77" s="1301"/>
      <c r="G77" s="1301"/>
      <c r="H77" s="1301"/>
      <c r="I77" s="1301"/>
      <c r="J77" s="1301"/>
      <c r="K77" s="1301"/>
      <c r="L77" s="1301"/>
      <c r="M77" s="1301"/>
      <c r="N77" s="1301"/>
      <c r="O77" s="1301"/>
      <c r="P77" s="1301"/>
      <c r="Q77" s="1301"/>
      <c r="R77" s="1301"/>
      <c r="S77" s="1301"/>
      <c r="T77" s="1301"/>
      <c r="U77" s="1301"/>
      <c r="V77" s="1301"/>
      <c r="W77" s="1301"/>
      <c r="X77" s="1301"/>
      <c r="Y77" s="1301"/>
      <c r="Z77" s="1301"/>
      <c r="AA77" s="1301"/>
      <c r="AB77" s="1301"/>
      <c r="AC77" s="1301"/>
      <c r="AD77" s="1301"/>
      <c r="AE77" s="1301"/>
      <c r="AF77" s="1301"/>
      <c r="AG77" s="1301"/>
      <c r="AH77" s="1301"/>
      <c r="AI77" s="1301"/>
      <c r="AJ77" s="1301"/>
      <c r="AK77" s="1301"/>
      <c r="AL77" s="1301"/>
    </row>
    <row r="78" spans="6:38" s="396" customFormat="1" ht="15" customHeight="1">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row>
    <row r="80" spans="1:38" ht="15" customHeight="1">
      <c r="A80" s="1299" t="s">
        <v>1043</v>
      </c>
      <c r="B80" s="1299"/>
      <c r="C80" s="1299"/>
      <c r="D80" s="1299"/>
      <c r="E80" s="1299"/>
      <c r="F80" s="1299"/>
      <c r="G80" s="1299"/>
      <c r="H80" s="1299"/>
      <c r="I80" s="1299"/>
      <c r="J80" s="1299"/>
      <c r="K80" s="1299"/>
      <c r="L80" s="1299"/>
      <c r="M80" s="1308"/>
      <c r="N80" s="1308"/>
      <c r="O80" s="1308"/>
      <c r="P80" s="1308"/>
      <c r="Q80" s="1308"/>
      <c r="R80" s="1308"/>
      <c r="S80" s="1308"/>
      <c r="T80" s="1308"/>
      <c r="U80" s="1308"/>
      <c r="V80" s="1308"/>
      <c r="W80" s="1308"/>
      <c r="X80" s="1308"/>
      <c r="Y80" s="1308"/>
      <c r="Z80" s="1308"/>
      <c r="AA80" s="1308"/>
      <c r="AB80" s="1308"/>
      <c r="AC80" s="1308"/>
      <c r="AD80" s="1308"/>
      <c r="AE80" s="1308"/>
      <c r="AF80" s="1308"/>
      <c r="AG80" s="1308"/>
      <c r="AH80" s="1308"/>
      <c r="AI80" s="1308"/>
      <c r="AJ80" s="1308"/>
      <c r="AK80" s="1308"/>
      <c r="AL80" s="1308"/>
    </row>
    <row r="81" spans="1:38" ht="15" customHeight="1">
      <c r="A81" s="358"/>
      <c r="B81" s="358"/>
      <c r="C81" s="358"/>
      <c r="D81" s="358"/>
      <c r="E81" s="358"/>
      <c r="F81" s="358"/>
      <c r="G81" s="358"/>
      <c r="H81" s="358"/>
      <c r="I81" s="358"/>
      <c r="J81" s="358"/>
      <c r="K81" s="358"/>
      <c r="L81" s="358"/>
      <c r="M81" s="1307" t="s">
        <v>1044</v>
      </c>
      <c r="N81" s="1307"/>
      <c r="O81" s="1307"/>
      <c r="P81" s="1307"/>
      <c r="Q81" s="1307"/>
      <c r="R81" s="1307"/>
      <c r="S81" s="1307"/>
      <c r="T81" s="1307"/>
      <c r="U81" s="1307"/>
      <c r="V81" s="1307"/>
      <c r="W81" s="1307"/>
      <c r="X81" s="1307"/>
      <c r="Y81" s="1307"/>
      <c r="Z81" s="1307"/>
      <c r="AA81" s="1307"/>
      <c r="AB81" s="1307"/>
      <c r="AC81" s="1307"/>
      <c r="AD81" s="1307"/>
      <c r="AE81" s="1307"/>
      <c r="AF81" s="1307"/>
      <c r="AG81" s="1307"/>
      <c r="AH81" s="1307"/>
      <c r="AI81" s="1307"/>
      <c r="AJ81" s="1307"/>
      <c r="AK81" s="1307"/>
      <c r="AL81" s="1307"/>
    </row>
    <row r="82" spans="1:12" s="388" customFormat="1" ht="15" customHeight="1">
      <c r="A82" s="397"/>
      <c r="B82" s="397"/>
      <c r="C82" s="397"/>
      <c r="D82" s="397"/>
      <c r="E82" s="397"/>
      <c r="F82" s="397"/>
      <c r="G82" s="397"/>
      <c r="H82" s="397"/>
      <c r="I82" s="397"/>
      <c r="J82" s="397"/>
      <c r="K82" s="397"/>
      <c r="L82" s="397"/>
    </row>
    <row r="83" spans="1:38" ht="15" customHeight="1">
      <c r="A83" s="1299" t="s">
        <v>1141</v>
      </c>
      <c r="B83" s="1299"/>
      <c r="C83" s="1299"/>
      <c r="D83" s="1299"/>
      <c r="E83" s="1299"/>
      <c r="F83" s="1299"/>
      <c r="G83" s="1299"/>
      <c r="H83" s="1299"/>
      <c r="I83" s="1299"/>
      <c r="J83" s="1299"/>
      <c r="K83" s="1299"/>
      <c r="L83" s="1299"/>
      <c r="M83" s="1308"/>
      <c r="N83" s="1308"/>
      <c r="O83" s="1308"/>
      <c r="P83" s="1308"/>
      <c r="Q83" s="1308"/>
      <c r="R83" s="1308"/>
      <c r="S83" s="1308"/>
      <c r="T83" s="1308"/>
      <c r="U83" s="1308"/>
      <c r="V83" s="1308"/>
      <c r="W83" s="1308"/>
      <c r="X83" s="1308"/>
      <c r="Y83" s="1308"/>
      <c r="Z83" s="1308"/>
      <c r="AA83" s="1308"/>
      <c r="AB83" s="1308"/>
      <c r="AC83" s="1308"/>
      <c r="AD83" s="1308"/>
      <c r="AE83" s="1308"/>
      <c r="AF83" s="1308"/>
      <c r="AG83" s="1308"/>
      <c r="AH83" s="1308"/>
      <c r="AI83" s="1308"/>
      <c r="AJ83" s="1308"/>
      <c r="AK83" s="1308"/>
      <c r="AL83" s="1308"/>
    </row>
    <row r="84" spans="13:38" ht="15" customHeight="1">
      <c r="M84" s="1307" t="s">
        <v>1044</v>
      </c>
      <c r="N84" s="1307"/>
      <c r="O84" s="1307"/>
      <c r="P84" s="1307"/>
      <c r="Q84" s="1307"/>
      <c r="R84" s="1307"/>
      <c r="S84" s="1307"/>
      <c r="T84" s="1307"/>
      <c r="U84" s="1307"/>
      <c r="V84" s="1307"/>
      <c r="W84" s="1307"/>
      <c r="X84" s="1307"/>
      <c r="Y84" s="1307"/>
      <c r="Z84" s="1307"/>
      <c r="AA84" s="1307"/>
      <c r="AB84" s="1307"/>
      <c r="AC84" s="1307"/>
      <c r="AD84" s="1307"/>
      <c r="AE84" s="1307"/>
      <c r="AF84" s="1307"/>
      <c r="AG84" s="1307"/>
      <c r="AH84" s="1307"/>
      <c r="AI84" s="1307"/>
      <c r="AJ84" s="1307"/>
      <c r="AK84" s="1307"/>
      <c r="AL84" s="1307"/>
    </row>
  </sheetData>
  <sheetProtection password="CBEB" sheet="1" objects="1" scenarios="1"/>
  <mergeCells count="156">
    <mergeCell ref="M83:AL83"/>
    <mergeCell ref="A77:E77"/>
    <mergeCell ref="F77:AL77"/>
    <mergeCell ref="B75:AC75"/>
    <mergeCell ref="B73:AC73"/>
    <mergeCell ref="AE73:AF73"/>
    <mergeCell ref="AH73:AI73"/>
    <mergeCell ref="AH75:AI75"/>
    <mergeCell ref="AE75:AF75"/>
    <mergeCell ref="F66:AL66"/>
    <mergeCell ref="A68:AL68"/>
    <mergeCell ref="B69:AC69"/>
    <mergeCell ref="AE69:AF69"/>
    <mergeCell ref="AH69:AI69"/>
    <mergeCell ref="M84:AL84"/>
    <mergeCell ref="A80:L80"/>
    <mergeCell ref="M80:AL80"/>
    <mergeCell ref="M81:AL81"/>
    <mergeCell ref="A83:L83"/>
    <mergeCell ref="B71:AC71"/>
    <mergeCell ref="AE71:AF71"/>
    <mergeCell ref="AH71:AI71"/>
    <mergeCell ref="B60:AC61"/>
    <mergeCell ref="AE60:AF60"/>
    <mergeCell ref="AH60:AI60"/>
    <mergeCell ref="B63:AC64"/>
    <mergeCell ref="AE63:AF63"/>
    <mergeCell ref="AH63:AI63"/>
    <mergeCell ref="A66:E66"/>
    <mergeCell ref="B56:X56"/>
    <mergeCell ref="Z56:AC56"/>
    <mergeCell ref="AH56:AL56"/>
    <mergeCell ref="B58:AC58"/>
    <mergeCell ref="AE58:AF58"/>
    <mergeCell ref="AH58:AI58"/>
    <mergeCell ref="B52:N52"/>
    <mergeCell ref="O52:AL52"/>
    <mergeCell ref="AK44:AL44"/>
    <mergeCell ref="B54:AC54"/>
    <mergeCell ref="AE54:AF54"/>
    <mergeCell ref="AH54:AI54"/>
    <mergeCell ref="B48:AC48"/>
    <mergeCell ref="A50:AL50"/>
    <mergeCell ref="B51:N51"/>
    <mergeCell ref="O51:AL51"/>
    <mergeCell ref="B46:AC46"/>
    <mergeCell ref="AE46:AF46"/>
    <mergeCell ref="AH46:AI46"/>
    <mergeCell ref="B47:AC47"/>
    <mergeCell ref="B44:AC44"/>
    <mergeCell ref="AE44:AF44"/>
    <mergeCell ref="AH44:AI44"/>
    <mergeCell ref="B40:AL40"/>
    <mergeCell ref="B41:AC41"/>
    <mergeCell ref="AE41:AF41"/>
    <mergeCell ref="AH41:AI41"/>
    <mergeCell ref="AK41:AL41"/>
    <mergeCell ref="B38:AC38"/>
    <mergeCell ref="AE38:AF38"/>
    <mergeCell ref="AH38:AI38"/>
    <mergeCell ref="AK38:AL38"/>
    <mergeCell ref="B43:AC43"/>
    <mergeCell ref="AE43:AF43"/>
    <mergeCell ref="AH43:AI43"/>
    <mergeCell ref="AK43:AL43"/>
    <mergeCell ref="B42:AC42"/>
    <mergeCell ref="AE42:AF42"/>
    <mergeCell ref="AH42:AI42"/>
    <mergeCell ref="AK42:AL42"/>
    <mergeCell ref="B36:AC36"/>
    <mergeCell ref="AE36:AF36"/>
    <mergeCell ref="AH36:AI36"/>
    <mergeCell ref="B32:V32"/>
    <mergeCell ref="W32:AL32"/>
    <mergeCell ref="B34:AC34"/>
    <mergeCell ref="AE34:AF34"/>
    <mergeCell ref="AH34:AI34"/>
    <mergeCell ref="AK36:AL36"/>
    <mergeCell ref="B29:AC29"/>
    <mergeCell ref="AE29:AF29"/>
    <mergeCell ref="AH29:AI29"/>
    <mergeCell ref="B30:AC30"/>
    <mergeCell ref="AE30:AF30"/>
    <mergeCell ref="AH30:AI30"/>
    <mergeCell ref="B22:AL22"/>
    <mergeCell ref="B23:AL24"/>
    <mergeCell ref="B26:AC27"/>
    <mergeCell ref="AE26:AF26"/>
    <mergeCell ref="AH26:AI26"/>
    <mergeCell ref="U20:AC20"/>
    <mergeCell ref="AE20:AF20"/>
    <mergeCell ref="AH20:AI20"/>
    <mergeCell ref="AK20:AL20"/>
    <mergeCell ref="B20:K20"/>
    <mergeCell ref="M20:N20"/>
    <mergeCell ref="P20:Q20"/>
    <mergeCell ref="S20:T20"/>
    <mergeCell ref="U19:AC19"/>
    <mergeCell ref="AE19:AF19"/>
    <mergeCell ref="AH19:AI19"/>
    <mergeCell ref="AK17:AL17"/>
    <mergeCell ref="B17:K17"/>
    <mergeCell ref="M17:N17"/>
    <mergeCell ref="P17:Q17"/>
    <mergeCell ref="S17:T17"/>
    <mergeCell ref="AE17:AF17"/>
    <mergeCell ref="AH17:AI17"/>
    <mergeCell ref="AK19:AL19"/>
    <mergeCell ref="B19:K19"/>
    <mergeCell ref="M19:N19"/>
    <mergeCell ref="P19:Q19"/>
    <mergeCell ref="S19:T19"/>
    <mergeCell ref="U18:AC18"/>
    <mergeCell ref="AE18:AF18"/>
    <mergeCell ref="AH18:AI18"/>
    <mergeCell ref="AK18:AL18"/>
    <mergeCell ref="B18:K18"/>
    <mergeCell ref="U15:AC15"/>
    <mergeCell ref="M18:N18"/>
    <mergeCell ref="P18:Q18"/>
    <mergeCell ref="S18:T18"/>
    <mergeCell ref="U17:AC17"/>
    <mergeCell ref="U16:AC16"/>
    <mergeCell ref="A10:F10"/>
    <mergeCell ref="G10:AL10"/>
    <mergeCell ref="A11:F11"/>
    <mergeCell ref="G11:AL11"/>
    <mergeCell ref="M16:N16"/>
    <mergeCell ref="P16:Q16"/>
    <mergeCell ref="S16:T16"/>
    <mergeCell ref="A13:AL13"/>
    <mergeCell ref="B14:AL14"/>
    <mergeCell ref="B15:K15"/>
    <mergeCell ref="AE16:AF16"/>
    <mergeCell ref="AH16:AI16"/>
    <mergeCell ref="AK16:AL16"/>
    <mergeCell ref="B16:K16"/>
    <mergeCell ref="AE15:AF15"/>
    <mergeCell ref="AH15:AI15"/>
    <mergeCell ref="AK15:AL15"/>
    <mergeCell ref="M15:N15"/>
    <mergeCell ref="P15:Q15"/>
    <mergeCell ref="S15:T15"/>
    <mergeCell ref="A9:F9"/>
    <mergeCell ref="G9:AL9"/>
    <mergeCell ref="E3:AH3"/>
    <mergeCell ref="AI3:AL3"/>
    <mergeCell ref="A5:AL5"/>
    <mergeCell ref="A7:F7"/>
    <mergeCell ref="G7:AL7"/>
    <mergeCell ref="E1:AH1"/>
    <mergeCell ref="AI1:AL1"/>
    <mergeCell ref="E2:AH2"/>
    <mergeCell ref="AI2:AL2"/>
    <mergeCell ref="A8:F8"/>
    <mergeCell ref="G8:AL8"/>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49" max="255" man="1"/>
  </rowBreaks>
</worksheet>
</file>

<file path=xl/worksheets/sheet12.xml><?xml version="1.0" encoding="utf-8"?>
<worksheet xmlns="http://schemas.openxmlformats.org/spreadsheetml/2006/main" xmlns:r="http://schemas.openxmlformats.org/officeDocument/2006/relationships">
  <dimension ref="A1:Q28"/>
  <sheetViews>
    <sheetView showGridLines="0" zoomScale="75" zoomScaleNormal="75" zoomScalePageLayoutView="0" workbookViewId="0" topLeftCell="A1">
      <selection activeCell="A1" sqref="A1"/>
    </sheetView>
  </sheetViews>
  <sheetFormatPr defaultColWidth="9.140625" defaultRowHeight="19.5" customHeight="1"/>
  <cols>
    <col min="1" max="1" width="29.28125" style="47" bestFit="1" customWidth="1"/>
    <col min="2" max="6" width="17.421875" style="47" customWidth="1"/>
    <col min="7" max="17" width="3.28125" style="399" customWidth="1"/>
    <col min="18" max="16384" width="9.140625" style="399" customWidth="1"/>
  </cols>
  <sheetData>
    <row r="1" spans="1:12" ht="19.5" customHeight="1">
      <c r="A1" s="398" t="s">
        <v>1142</v>
      </c>
      <c r="B1" s="402"/>
      <c r="C1" s="402"/>
      <c r="D1" s="402"/>
      <c r="E1" s="402"/>
      <c r="F1" s="402"/>
      <c r="H1" s="1309" t="s">
        <v>1851</v>
      </c>
      <c r="I1" s="1309"/>
      <c r="J1" s="1309" t="s">
        <v>2383</v>
      </c>
      <c r="K1" s="1309" t="s">
        <v>2041</v>
      </c>
      <c r="L1" s="1309" t="s">
        <v>2039</v>
      </c>
    </row>
    <row r="2" spans="1:12" ht="19.5" customHeight="1">
      <c r="A2" s="398" t="s">
        <v>1852</v>
      </c>
      <c r="B2" s="402"/>
      <c r="C2" s="402"/>
      <c r="D2" s="402"/>
      <c r="E2" s="402"/>
      <c r="F2" s="402"/>
      <c r="H2" s="1309"/>
      <c r="I2" s="1309"/>
      <c r="J2" s="1309"/>
      <c r="K2" s="1309"/>
      <c r="L2" s="1309"/>
    </row>
    <row r="3" spans="1:12" ht="19.5" customHeight="1">
      <c r="A3" s="398" t="s">
        <v>1853</v>
      </c>
      <c r="B3" s="402"/>
      <c r="C3" s="402"/>
      <c r="D3" s="402"/>
      <c r="E3" s="402"/>
      <c r="F3" s="402"/>
      <c r="H3" s="1309"/>
      <c r="I3" s="1309"/>
      <c r="J3" s="1309"/>
      <c r="K3" s="1309"/>
      <c r="L3" s="1309"/>
    </row>
    <row r="4" spans="1:12" ht="19.5" customHeight="1">
      <c r="A4" s="398" t="s">
        <v>1854</v>
      </c>
      <c r="B4" s="402"/>
      <c r="C4" s="402"/>
      <c r="D4" s="402"/>
      <c r="E4" s="402"/>
      <c r="F4" s="402"/>
      <c r="H4" s="1309"/>
      <c r="I4" s="1309"/>
      <c r="J4" s="1309"/>
      <c r="K4" s="1309"/>
      <c r="L4" s="1309"/>
    </row>
    <row r="5" spans="1:12" ht="19.5" customHeight="1">
      <c r="A5" s="398" t="s">
        <v>1855</v>
      </c>
      <c r="B5" s="402"/>
      <c r="C5" s="402"/>
      <c r="D5" s="402"/>
      <c r="E5" s="402"/>
      <c r="F5" s="402"/>
      <c r="H5" s="1309"/>
      <c r="I5" s="1309"/>
      <c r="J5" s="1309"/>
      <c r="K5" s="1309"/>
      <c r="L5" s="1309"/>
    </row>
    <row r="6" spans="1:12" ht="19.5" customHeight="1">
      <c r="A6" s="398" t="s">
        <v>1856</v>
      </c>
      <c r="B6" s="402"/>
      <c r="C6" s="402"/>
      <c r="D6" s="402"/>
      <c r="E6" s="402"/>
      <c r="F6" s="402"/>
      <c r="H6" s="1309"/>
      <c r="I6" s="1309"/>
      <c r="J6" s="1309"/>
      <c r="K6" s="1309"/>
      <c r="L6" s="1309"/>
    </row>
    <row r="7" spans="1:12" ht="19.5" customHeight="1">
      <c r="A7" s="398" t="s">
        <v>1857</v>
      </c>
      <c r="B7" s="402"/>
      <c r="C7" s="402"/>
      <c r="D7" s="402"/>
      <c r="E7" s="402"/>
      <c r="F7" s="402"/>
      <c r="H7" s="1309"/>
      <c r="I7" s="1309"/>
      <c r="J7" s="1309"/>
      <c r="K7" s="1309"/>
      <c r="L7" s="1309"/>
    </row>
    <row r="8" spans="1:12" ht="19.5" customHeight="1">
      <c r="A8" s="398" t="s">
        <v>1858</v>
      </c>
      <c r="B8" s="402"/>
      <c r="C8" s="402"/>
      <c r="D8" s="402"/>
      <c r="E8" s="402"/>
      <c r="F8" s="402"/>
      <c r="H8" s="1309"/>
      <c r="I8" s="1309"/>
      <c r="J8" s="1309"/>
      <c r="K8" s="1309"/>
      <c r="L8" s="1309"/>
    </row>
    <row r="9" spans="1:12" ht="19.5" customHeight="1">
      <c r="A9" s="398" t="s">
        <v>1859</v>
      </c>
      <c r="B9" s="402"/>
      <c r="C9" s="402"/>
      <c r="D9" s="402"/>
      <c r="E9" s="402"/>
      <c r="F9" s="402"/>
      <c r="H9" s="1309"/>
      <c r="I9" s="1309"/>
      <c r="J9" s="1309"/>
      <c r="K9" s="1309"/>
      <c r="L9" s="1309"/>
    </row>
    <row r="10" spans="1:12" ht="19.5" customHeight="1">
      <c r="A10" s="400"/>
      <c r="B10" s="403"/>
      <c r="C10" s="403"/>
      <c r="D10" s="403"/>
      <c r="E10" s="403"/>
      <c r="F10" s="404"/>
      <c r="H10" s="1309"/>
      <c r="I10" s="1309"/>
      <c r="J10" s="1309"/>
      <c r="K10" s="1309"/>
      <c r="L10" s="1309"/>
    </row>
    <row r="11" spans="1:12" ht="19.5" customHeight="1">
      <c r="A11" s="398" t="s">
        <v>1860</v>
      </c>
      <c r="B11" s="402"/>
      <c r="C11" s="402"/>
      <c r="D11" s="402"/>
      <c r="E11" s="402"/>
      <c r="F11" s="402"/>
      <c r="H11" s="1309"/>
      <c r="I11" s="1309"/>
      <c r="J11" s="1309"/>
      <c r="K11" s="1309"/>
      <c r="L11" s="1309"/>
    </row>
    <row r="12" spans="1:12" ht="19.5" customHeight="1">
      <c r="A12" s="398" t="s">
        <v>1660</v>
      </c>
      <c r="B12" s="402"/>
      <c r="C12" s="402"/>
      <c r="D12" s="402"/>
      <c r="E12" s="402"/>
      <c r="F12" s="402"/>
      <c r="H12" s="1309"/>
      <c r="I12" s="1309"/>
      <c r="J12" s="1309"/>
      <c r="K12" s="1309"/>
      <c r="L12" s="1309"/>
    </row>
    <row r="13" spans="1:12" ht="19.5" customHeight="1">
      <c r="A13" s="398" t="s">
        <v>1861</v>
      </c>
      <c r="B13" s="402"/>
      <c r="C13" s="402"/>
      <c r="D13" s="402"/>
      <c r="E13" s="402"/>
      <c r="F13" s="402"/>
      <c r="H13" s="1310" t="s">
        <v>616</v>
      </c>
      <c r="I13" s="1310" t="s">
        <v>1862</v>
      </c>
      <c r="J13" s="1310" t="s">
        <v>614</v>
      </c>
      <c r="K13" s="1310" t="s">
        <v>1863</v>
      </c>
      <c r="L13" s="1310" t="s">
        <v>2665</v>
      </c>
    </row>
    <row r="14" spans="1:12" ht="19.5" customHeight="1">
      <c r="A14" s="398" t="s">
        <v>1864</v>
      </c>
      <c r="B14" s="402"/>
      <c r="C14" s="402"/>
      <c r="D14" s="402"/>
      <c r="E14" s="402"/>
      <c r="F14" s="402"/>
      <c r="H14" s="1310"/>
      <c r="I14" s="1310"/>
      <c r="J14" s="1310"/>
      <c r="K14" s="1310"/>
      <c r="L14" s="1310"/>
    </row>
    <row r="15" spans="1:12" ht="19.5" customHeight="1">
      <c r="A15" s="398" t="s">
        <v>1865</v>
      </c>
      <c r="B15" s="402"/>
      <c r="C15" s="402"/>
      <c r="D15" s="402"/>
      <c r="E15" s="402"/>
      <c r="F15" s="402"/>
      <c r="H15" s="1310"/>
      <c r="I15" s="1310"/>
      <c r="J15" s="1310"/>
      <c r="K15" s="1310"/>
      <c r="L15" s="1310"/>
    </row>
    <row r="16" spans="1:12" ht="19.5" customHeight="1">
      <c r="A16" s="398" t="s">
        <v>1866</v>
      </c>
      <c r="B16" s="402"/>
      <c r="C16" s="402"/>
      <c r="D16" s="402"/>
      <c r="E16" s="402"/>
      <c r="F16" s="402"/>
      <c r="H16" s="1310"/>
      <c r="I16" s="1310"/>
      <c r="J16" s="1310"/>
      <c r="K16" s="1310"/>
      <c r="L16" s="1310"/>
    </row>
    <row r="17" spans="1:17" ht="19.5" customHeight="1">
      <c r="A17" s="398" t="s">
        <v>1867</v>
      </c>
      <c r="B17" s="402"/>
      <c r="C17" s="402"/>
      <c r="D17" s="402"/>
      <c r="E17" s="402"/>
      <c r="F17" s="402"/>
      <c r="H17" s="1315" t="s">
        <v>405</v>
      </c>
      <c r="I17" s="1316" t="s">
        <v>405</v>
      </c>
      <c r="J17" s="1316" t="s">
        <v>405</v>
      </c>
      <c r="K17" s="1317">
        <f>Input!F11</f>
        <v>25546</v>
      </c>
      <c r="L17" s="1311" t="str">
        <f>Input!F2</f>
        <v>Lincoln</v>
      </c>
      <c r="M17" s="401"/>
      <c r="N17" s="401"/>
      <c r="O17" s="401"/>
      <c r="P17" s="401"/>
      <c r="Q17" s="401"/>
    </row>
    <row r="18" spans="1:12" ht="19.5" customHeight="1">
      <c r="A18" s="400"/>
      <c r="B18" s="403"/>
      <c r="C18" s="403"/>
      <c r="D18" s="403"/>
      <c r="E18" s="403"/>
      <c r="F18" s="404"/>
      <c r="H18" s="1316"/>
      <c r="I18" s="1316"/>
      <c r="J18" s="1316"/>
      <c r="K18" s="1317"/>
      <c r="L18" s="1311"/>
    </row>
    <row r="19" spans="1:12" ht="19.5" customHeight="1">
      <c r="A19" s="398" t="s">
        <v>1868</v>
      </c>
      <c r="B19" s="402"/>
      <c r="C19" s="402"/>
      <c r="D19" s="402"/>
      <c r="E19" s="402"/>
      <c r="F19" s="402"/>
      <c r="H19" s="1316"/>
      <c r="I19" s="1316"/>
      <c r="J19" s="1316"/>
      <c r="K19" s="1317"/>
      <c r="L19" s="1311"/>
    </row>
    <row r="20" spans="1:12" ht="19.5" customHeight="1">
      <c r="A20" s="1312" t="s">
        <v>1869</v>
      </c>
      <c r="B20" s="1313"/>
      <c r="C20" s="1313"/>
      <c r="D20" s="1313"/>
      <c r="E20" s="1313"/>
      <c r="F20" s="1313"/>
      <c r="H20" s="1316"/>
      <c r="I20" s="1316"/>
      <c r="J20" s="1316"/>
      <c r="K20" s="1317"/>
      <c r="L20" s="1311"/>
    </row>
    <row r="21" spans="1:12" ht="19.5" customHeight="1">
      <c r="A21" s="1312"/>
      <c r="B21" s="1313"/>
      <c r="C21" s="1313"/>
      <c r="D21" s="1313"/>
      <c r="E21" s="1313"/>
      <c r="F21" s="1313"/>
      <c r="H21" s="1316"/>
      <c r="I21" s="1316"/>
      <c r="J21" s="1316"/>
      <c r="K21" s="1317"/>
      <c r="L21" s="1311"/>
    </row>
    <row r="22" spans="1:6" ht="19.5" customHeight="1">
      <c r="A22" s="1312"/>
      <c r="B22" s="1313"/>
      <c r="C22" s="1313"/>
      <c r="D22" s="1313"/>
      <c r="E22" s="1313"/>
      <c r="F22" s="1313"/>
    </row>
    <row r="23" spans="1:6" ht="19.5" customHeight="1">
      <c r="A23" s="1312"/>
      <c r="B23" s="1313"/>
      <c r="C23" s="1313"/>
      <c r="D23" s="1313"/>
      <c r="E23" s="1313"/>
      <c r="F23" s="1313"/>
    </row>
    <row r="24" spans="1:6" ht="19.5" customHeight="1">
      <c r="A24" s="1312"/>
      <c r="B24" s="1313"/>
      <c r="C24" s="1313"/>
      <c r="D24" s="1313"/>
      <c r="E24" s="1313"/>
      <c r="F24" s="1313"/>
    </row>
    <row r="25" spans="1:12" ht="19.5" customHeight="1">
      <c r="A25" s="1312"/>
      <c r="B25" s="1313"/>
      <c r="C25" s="1313"/>
      <c r="D25" s="1313"/>
      <c r="E25" s="1313"/>
      <c r="F25" s="1313"/>
      <c r="K25" s="1314" t="s">
        <v>2385</v>
      </c>
      <c r="L25" s="1314" t="s">
        <v>1870</v>
      </c>
    </row>
    <row r="26" spans="1:12" ht="19.5" customHeight="1">
      <c r="A26" s="1312"/>
      <c r="B26" s="1313"/>
      <c r="C26" s="1313"/>
      <c r="D26" s="1313"/>
      <c r="E26" s="1313"/>
      <c r="F26" s="1313"/>
      <c r="K26" s="1314"/>
      <c r="L26" s="1314"/>
    </row>
    <row r="27" spans="1:12" ht="19.5" customHeight="1">
      <c r="A27" s="1312"/>
      <c r="B27" s="1313"/>
      <c r="C27" s="1313"/>
      <c r="D27" s="1313"/>
      <c r="E27" s="1313"/>
      <c r="F27" s="1313"/>
      <c r="K27" s="1314"/>
      <c r="L27" s="1314"/>
    </row>
    <row r="28" spans="1:12" ht="19.5" customHeight="1">
      <c r="A28" s="1312"/>
      <c r="B28" s="1313"/>
      <c r="C28" s="1313"/>
      <c r="D28" s="1313"/>
      <c r="E28" s="1313"/>
      <c r="F28" s="1313"/>
      <c r="K28" s="1314"/>
      <c r="L28" s="1314"/>
    </row>
  </sheetData>
  <sheetProtection password="CBEB" sheet="1" objects="1" scenarios="1"/>
  <mergeCells count="23">
    <mergeCell ref="K25:K28"/>
    <mergeCell ref="L25:L28"/>
    <mergeCell ref="H17:H21"/>
    <mergeCell ref="I17:I21"/>
    <mergeCell ref="J17:J21"/>
    <mergeCell ref="K17:K21"/>
    <mergeCell ref="H1:H12"/>
    <mergeCell ref="I1:I12"/>
    <mergeCell ref="J1:J12"/>
    <mergeCell ref="A20:A28"/>
    <mergeCell ref="B20:B28"/>
    <mergeCell ref="C20:C28"/>
    <mergeCell ref="D20:D28"/>
    <mergeCell ref="E20:E28"/>
    <mergeCell ref="F20:F28"/>
    <mergeCell ref="H13:H16"/>
    <mergeCell ref="L1:L12"/>
    <mergeCell ref="L13:L16"/>
    <mergeCell ref="L17:L21"/>
    <mergeCell ref="I13:I16"/>
    <mergeCell ref="J13:J16"/>
    <mergeCell ref="K13:K16"/>
    <mergeCell ref="K1:K12"/>
  </mergeCells>
  <printOptions/>
  <pageMargins left="0.25" right="0.25" top="0.25" bottom="0.5" header="0.25" footer="0.25"/>
  <pageSetup blackAndWhite="1" horizontalDpi="600" verticalDpi="600" orientation="landscape" r:id="rId1"/>
  <headerFooter alignWithMargins="0">
    <oddFooter>&amp;L&amp;F&amp;C&amp;D&amp;R&amp;A</oddFooter>
  </headerFooter>
</worksheet>
</file>

<file path=xl/worksheets/sheet13.xml><?xml version="1.0" encoding="utf-8"?>
<worksheet xmlns="http://schemas.openxmlformats.org/spreadsheetml/2006/main" xmlns:r="http://schemas.openxmlformats.org/officeDocument/2006/relationships">
  <dimension ref="A1:AL109"/>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1201</v>
      </c>
      <c r="AJ1" s="1291"/>
      <c r="AK1" s="1291"/>
      <c r="AL1" s="1291"/>
    </row>
    <row r="2" spans="1:38" ht="12.75">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1871</v>
      </c>
      <c r="AJ2" s="1291"/>
      <c r="AK2" s="1291"/>
      <c r="AL2" s="1291"/>
    </row>
    <row r="3" spans="1:38" ht="12.75">
      <c r="A3" s="358"/>
      <c r="B3" s="273"/>
      <c r="C3" s="273"/>
      <c r="D3" s="273"/>
      <c r="E3" s="1290" t="s">
        <v>2383</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290" t="s">
        <v>1202</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2.75">
      <c r="A7" s="1319" t="s">
        <v>2665</v>
      </c>
      <c r="B7" s="1319"/>
      <c r="C7" s="1319"/>
      <c r="D7" s="1319"/>
      <c r="E7" s="1319"/>
      <c r="F7" s="1319"/>
      <c r="G7" s="1332" t="str">
        <f>Input!F2</f>
        <v>Lincoln</v>
      </c>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row>
    <row r="8" spans="1:38" ht="12.75">
      <c r="A8" s="1319" t="s">
        <v>2340</v>
      </c>
      <c r="B8" s="1319"/>
      <c r="C8" s="1319"/>
      <c r="D8" s="1319"/>
      <c r="E8" s="1319"/>
      <c r="F8" s="1319"/>
      <c r="G8" s="1333">
        <f>Input!F11</f>
        <v>25546</v>
      </c>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row>
    <row r="9" spans="1:38" ht="12.75">
      <c r="A9" s="1319" t="s">
        <v>2778</v>
      </c>
      <c r="B9" s="1319"/>
      <c r="C9" s="1319"/>
      <c r="D9" s="1319"/>
      <c r="E9" s="1319"/>
      <c r="F9" s="1319"/>
      <c r="G9" s="1332" t="str">
        <f>Input!F6</f>
        <v>8-163.00</v>
      </c>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row>
    <row r="10" spans="1:38" ht="12.75">
      <c r="A10" s="1319" t="s">
        <v>1203</v>
      </c>
      <c r="B10" s="1319"/>
      <c r="C10" s="1319"/>
      <c r="D10" s="1319"/>
      <c r="E10" s="1319"/>
      <c r="F10" s="1319"/>
      <c r="G10" s="1330" t="s">
        <v>405</v>
      </c>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row>
    <row r="11" spans="1:38" ht="12.75">
      <c r="A11" s="1319" t="s">
        <v>615</v>
      </c>
      <c r="B11" s="1319"/>
      <c r="C11" s="1319"/>
      <c r="D11" s="1319"/>
      <c r="E11" s="1319"/>
      <c r="F11" s="1319"/>
      <c r="G11" s="1330" t="s">
        <v>405</v>
      </c>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row>
    <row r="12" spans="1:38" ht="12.75">
      <c r="A12" s="1319" t="s">
        <v>616</v>
      </c>
      <c r="B12" s="1319"/>
      <c r="C12" s="1319"/>
      <c r="D12" s="1319"/>
      <c r="E12" s="1319"/>
      <c r="F12" s="1319"/>
      <c r="G12" s="1331" t="s">
        <v>405</v>
      </c>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row>
    <row r="14" spans="1:38" ht="17.25">
      <c r="A14" s="1325" t="s">
        <v>617</v>
      </c>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row>
    <row r="15" spans="1:38" ht="12.75">
      <c r="A15" s="425"/>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8" ht="12.75">
      <c r="A16" s="405" t="s">
        <v>618</v>
      </c>
      <c r="B16" s="1319" t="s">
        <v>1204</v>
      </c>
      <c r="C16" s="1319"/>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row>
    <row r="17" spans="2:38" ht="12.75">
      <c r="B17" s="1319" t="s">
        <v>1205</v>
      </c>
      <c r="C17" s="1319"/>
      <c r="D17" s="1319"/>
      <c r="E17" s="1319"/>
      <c r="F17" s="1319"/>
      <c r="G17" s="1319"/>
      <c r="H17" s="1319"/>
      <c r="I17" s="1319"/>
      <c r="J17" s="1319"/>
      <c r="K17" s="1322"/>
      <c r="L17" s="416"/>
      <c r="M17" s="1323" t="s">
        <v>621</v>
      </c>
      <c r="N17" s="1322"/>
      <c r="O17" s="416"/>
      <c r="P17" s="1323" t="s">
        <v>622</v>
      </c>
      <c r="Q17" s="1322"/>
      <c r="R17" s="416"/>
      <c r="S17" s="1323" t="s">
        <v>2666</v>
      </c>
      <c r="T17" s="1324"/>
      <c r="U17" s="1319" t="s">
        <v>1206</v>
      </c>
      <c r="V17" s="1319"/>
      <c r="W17" s="1319"/>
      <c r="X17" s="1319"/>
      <c r="Y17" s="1319"/>
      <c r="Z17" s="1319"/>
      <c r="AA17" s="1319"/>
      <c r="AB17" s="1319"/>
      <c r="AC17" s="1322"/>
      <c r="AD17" s="416"/>
      <c r="AE17" s="1323" t="s">
        <v>621</v>
      </c>
      <c r="AF17" s="1322"/>
      <c r="AG17" s="416"/>
      <c r="AH17" s="1323" t="s">
        <v>622</v>
      </c>
      <c r="AI17" s="1322"/>
      <c r="AJ17" s="416"/>
      <c r="AK17" s="1323" t="s">
        <v>2666</v>
      </c>
      <c r="AL17" s="1324"/>
    </row>
    <row r="18" spans="2:38" ht="12.75">
      <c r="B18" s="1319" t="s">
        <v>439</v>
      </c>
      <c r="C18" s="1319"/>
      <c r="D18" s="1319"/>
      <c r="E18" s="1319"/>
      <c r="F18" s="1319"/>
      <c r="G18" s="1319"/>
      <c r="H18" s="1319"/>
      <c r="I18" s="1319"/>
      <c r="J18" s="1319"/>
      <c r="K18" s="1322"/>
      <c r="L18" s="416"/>
      <c r="M18" s="1323" t="s">
        <v>621</v>
      </c>
      <c r="N18" s="1322"/>
      <c r="O18" s="416"/>
      <c r="P18" s="1323" t="s">
        <v>622</v>
      </c>
      <c r="Q18" s="1322"/>
      <c r="R18" s="416"/>
      <c r="S18" s="1323" t="s">
        <v>2666</v>
      </c>
      <c r="T18" s="1324"/>
      <c r="U18" s="1319" t="s">
        <v>1207</v>
      </c>
      <c r="V18" s="1319"/>
      <c r="W18" s="1319"/>
      <c r="X18" s="1319"/>
      <c r="Y18" s="1319"/>
      <c r="Z18" s="1319"/>
      <c r="AA18" s="1319"/>
      <c r="AB18" s="1319"/>
      <c r="AC18" s="1322"/>
      <c r="AD18" s="416"/>
      <c r="AE18" s="1323" t="s">
        <v>621</v>
      </c>
      <c r="AF18" s="1322"/>
      <c r="AG18" s="416"/>
      <c r="AH18" s="1323" t="s">
        <v>622</v>
      </c>
      <c r="AI18" s="1322"/>
      <c r="AJ18" s="416"/>
      <c r="AK18" s="1323" t="s">
        <v>2666</v>
      </c>
      <c r="AL18" s="1324"/>
    </row>
    <row r="19" spans="2:38" ht="12.75">
      <c r="B19" s="1319" t="s">
        <v>1208</v>
      </c>
      <c r="C19" s="1319"/>
      <c r="D19" s="1319"/>
      <c r="E19" s="1319"/>
      <c r="F19" s="1319"/>
      <c r="G19" s="1319"/>
      <c r="H19" s="1319"/>
      <c r="I19" s="1319"/>
      <c r="J19" s="1319"/>
      <c r="K19" s="1322"/>
      <c r="L19" s="416"/>
      <c r="M19" s="1323" t="s">
        <v>621</v>
      </c>
      <c r="N19" s="1322"/>
      <c r="O19" s="416"/>
      <c r="P19" s="1323" t="s">
        <v>622</v>
      </c>
      <c r="Q19" s="1322"/>
      <c r="R19" s="416"/>
      <c r="S19" s="1323" t="s">
        <v>2666</v>
      </c>
      <c r="T19" s="1324"/>
      <c r="U19" s="1319" t="s">
        <v>1209</v>
      </c>
      <c r="V19" s="1319"/>
      <c r="W19" s="1319"/>
      <c r="X19" s="1319"/>
      <c r="Y19" s="1319"/>
      <c r="Z19" s="1319"/>
      <c r="AA19" s="1319"/>
      <c r="AB19" s="1319"/>
      <c r="AC19" s="1322"/>
      <c r="AD19" s="416"/>
      <c r="AE19" s="1323" t="s">
        <v>621</v>
      </c>
      <c r="AF19" s="1322"/>
      <c r="AG19" s="416"/>
      <c r="AH19" s="1323" t="s">
        <v>622</v>
      </c>
      <c r="AI19" s="1322"/>
      <c r="AJ19" s="416"/>
      <c r="AK19" s="1323" t="s">
        <v>2666</v>
      </c>
      <c r="AL19" s="1324"/>
    </row>
    <row r="20" spans="2:38" ht="12.75">
      <c r="B20" s="1319" t="s">
        <v>1210</v>
      </c>
      <c r="C20" s="1319"/>
      <c r="D20" s="1319"/>
      <c r="E20" s="1319"/>
      <c r="F20" s="1319"/>
      <c r="G20" s="1319"/>
      <c r="H20" s="1319"/>
      <c r="I20" s="1319"/>
      <c r="J20" s="1319"/>
      <c r="K20" s="1322"/>
      <c r="L20" s="416"/>
      <c r="M20" s="1323" t="s">
        <v>621</v>
      </c>
      <c r="N20" s="1322"/>
      <c r="O20" s="416"/>
      <c r="P20" s="1323" t="s">
        <v>622</v>
      </c>
      <c r="Q20" s="1322"/>
      <c r="R20" s="416"/>
      <c r="S20" s="1323" t="s">
        <v>2666</v>
      </c>
      <c r="T20" s="1324"/>
      <c r="U20" s="1319" t="s">
        <v>1211</v>
      </c>
      <c r="V20" s="1319"/>
      <c r="W20" s="1319"/>
      <c r="X20" s="1319"/>
      <c r="Y20" s="1319"/>
      <c r="Z20" s="1319"/>
      <c r="AA20" s="1319"/>
      <c r="AB20" s="1319"/>
      <c r="AC20" s="1322"/>
      <c r="AD20" s="416"/>
      <c r="AE20" s="1323" t="s">
        <v>621</v>
      </c>
      <c r="AF20" s="1322"/>
      <c r="AG20" s="416"/>
      <c r="AH20" s="1323" t="s">
        <v>622</v>
      </c>
      <c r="AI20" s="1322"/>
      <c r="AJ20" s="416"/>
      <c r="AK20" s="1323" t="s">
        <v>2666</v>
      </c>
      <c r="AL20" s="1324"/>
    </row>
    <row r="21" spans="2:38" ht="12.75">
      <c r="B21" s="1319" t="s">
        <v>240</v>
      </c>
      <c r="C21" s="1319"/>
      <c r="D21" s="1319"/>
      <c r="E21" s="1319"/>
      <c r="F21" s="1319"/>
      <c r="G21" s="1319"/>
      <c r="H21" s="1319"/>
      <c r="I21" s="1319"/>
      <c r="J21" s="1319"/>
      <c r="K21" s="1322"/>
      <c r="L21" s="416"/>
      <c r="M21" s="1323" t="s">
        <v>621</v>
      </c>
      <c r="N21" s="1322"/>
      <c r="O21" s="416"/>
      <c r="P21" s="1323" t="s">
        <v>622</v>
      </c>
      <c r="Q21" s="1322"/>
      <c r="R21" s="416"/>
      <c r="S21" s="1323" t="s">
        <v>2666</v>
      </c>
      <c r="T21" s="1324"/>
      <c r="U21" s="1319" t="s">
        <v>1212</v>
      </c>
      <c r="V21" s="1319"/>
      <c r="W21" s="1319"/>
      <c r="X21" s="1319"/>
      <c r="Y21" s="1319"/>
      <c r="Z21" s="1319"/>
      <c r="AA21" s="1319"/>
      <c r="AB21" s="1319"/>
      <c r="AC21" s="1322"/>
      <c r="AD21" s="416"/>
      <c r="AE21" s="1323" t="s">
        <v>621</v>
      </c>
      <c r="AF21" s="1322"/>
      <c r="AG21" s="416"/>
      <c r="AH21" s="1323" t="s">
        <v>622</v>
      </c>
      <c r="AI21" s="1322"/>
      <c r="AJ21" s="416"/>
      <c r="AK21" s="1323" t="s">
        <v>2666</v>
      </c>
      <c r="AL21" s="1324"/>
    </row>
    <row r="22" spans="2:38" ht="12.75">
      <c r="B22" s="1319" t="s">
        <v>1213</v>
      </c>
      <c r="C22" s="1319"/>
      <c r="D22" s="1319"/>
      <c r="E22" s="1319"/>
      <c r="F22" s="1319"/>
      <c r="G22" s="1319"/>
      <c r="H22" s="1319"/>
      <c r="I22" s="1319"/>
      <c r="J22" s="1319"/>
      <c r="K22" s="1322"/>
      <c r="L22" s="416"/>
      <c r="M22" s="1323" t="s">
        <v>621</v>
      </c>
      <c r="N22" s="1322"/>
      <c r="O22" s="416"/>
      <c r="P22" s="1323" t="s">
        <v>622</v>
      </c>
      <c r="Q22" s="1322"/>
      <c r="R22" s="416"/>
      <c r="S22" s="1323" t="s">
        <v>2666</v>
      </c>
      <c r="T22" s="1324"/>
      <c r="U22" s="1319"/>
      <c r="V22" s="1319"/>
      <c r="W22" s="1319"/>
      <c r="X22" s="1319"/>
      <c r="Y22" s="1319"/>
      <c r="Z22" s="1319"/>
      <c r="AA22" s="1319"/>
      <c r="AB22" s="1319"/>
      <c r="AC22" s="1319"/>
      <c r="AD22" s="418"/>
      <c r="AE22" s="1326"/>
      <c r="AF22" s="1326"/>
      <c r="AG22" s="418"/>
      <c r="AH22" s="1326"/>
      <c r="AI22" s="1326"/>
      <c r="AJ22" s="418"/>
      <c r="AK22" s="1326"/>
      <c r="AL22" s="1326"/>
    </row>
    <row r="24" spans="1:38" ht="12.75">
      <c r="A24" s="405" t="s">
        <v>243</v>
      </c>
      <c r="B24" s="1319" t="s">
        <v>400</v>
      </c>
      <c r="C24" s="1319"/>
      <c r="D24" s="1319"/>
      <c r="E24" s="1319"/>
      <c r="F24" s="1319"/>
      <c r="G24" s="1319"/>
      <c r="H24" s="1319"/>
      <c r="I24" s="1319"/>
      <c r="J24" s="1319"/>
      <c r="K24" s="1319"/>
      <c r="L24" s="1319"/>
      <c r="M24" s="1319"/>
      <c r="N24" s="1319"/>
      <c r="O24" s="1319"/>
      <c r="P24" s="1319"/>
      <c r="Q24" s="1319"/>
      <c r="R24" s="1319"/>
      <c r="S24" s="1319"/>
      <c r="T24" s="408"/>
      <c r="U24" s="408"/>
      <c r="V24" s="408"/>
      <c r="W24" s="408"/>
      <c r="X24" s="408"/>
      <c r="Y24" s="408"/>
      <c r="Z24" s="408"/>
      <c r="AA24" s="408"/>
      <c r="AB24" s="408"/>
      <c r="AC24" s="408"/>
      <c r="AD24" s="408"/>
      <c r="AE24" s="408"/>
      <c r="AF24" s="408"/>
      <c r="AG24" s="408"/>
      <c r="AH24" s="408"/>
      <c r="AI24" s="408"/>
      <c r="AJ24" s="408"/>
      <c r="AK24" s="408"/>
      <c r="AL24" s="408"/>
    </row>
    <row r="25" spans="1:38" ht="12.75">
      <c r="A25" s="405"/>
      <c r="B25" s="1328" t="s">
        <v>3784</v>
      </c>
      <c r="C25" s="1328"/>
      <c r="D25" s="1328"/>
      <c r="E25" s="1328"/>
      <c r="F25" s="1328"/>
      <c r="G25" s="1328"/>
      <c r="H25" s="1328"/>
      <c r="I25" s="1328"/>
      <c r="J25" s="1328"/>
      <c r="K25" s="1329"/>
      <c r="L25" s="416"/>
      <c r="M25" s="1323" t="s">
        <v>621</v>
      </c>
      <c r="N25" s="1322"/>
      <c r="O25" s="416"/>
      <c r="P25" s="1323" t="s">
        <v>622</v>
      </c>
      <c r="Q25" s="1322"/>
      <c r="R25" s="416"/>
      <c r="S25" s="1323" t="s">
        <v>2666</v>
      </c>
      <c r="T25" s="1324"/>
      <c r="U25" s="1328" t="s">
        <v>401</v>
      </c>
      <c r="V25" s="1328"/>
      <c r="W25" s="1328"/>
      <c r="X25" s="1328"/>
      <c r="Y25" s="1328"/>
      <c r="Z25" s="1328"/>
      <c r="AA25" s="1328"/>
      <c r="AB25" s="1328"/>
      <c r="AC25" s="1329"/>
      <c r="AD25" s="416"/>
      <c r="AE25" s="1323" t="s">
        <v>621</v>
      </c>
      <c r="AF25" s="1322"/>
      <c r="AG25" s="416"/>
      <c r="AH25" s="1323" t="s">
        <v>622</v>
      </c>
      <c r="AI25" s="1322"/>
      <c r="AJ25" s="416"/>
      <c r="AK25" s="1323" t="s">
        <v>2666</v>
      </c>
      <c r="AL25" s="1324"/>
    </row>
    <row r="26" spans="2:38" ht="12.75">
      <c r="B26" s="1328" t="s">
        <v>438</v>
      </c>
      <c r="C26" s="1328"/>
      <c r="D26" s="1328"/>
      <c r="E26" s="1328"/>
      <c r="F26" s="1328"/>
      <c r="G26" s="1328"/>
      <c r="H26" s="1328"/>
      <c r="I26" s="1328"/>
      <c r="J26" s="1328"/>
      <c r="K26" s="1329"/>
      <c r="L26" s="416"/>
      <c r="M26" s="1323" t="s">
        <v>621</v>
      </c>
      <c r="N26" s="1322"/>
      <c r="O26" s="416"/>
      <c r="P26" s="1323" t="s">
        <v>622</v>
      </c>
      <c r="Q26" s="1322"/>
      <c r="R26" s="416"/>
      <c r="S26" s="1323" t="s">
        <v>2666</v>
      </c>
      <c r="T26" s="1324"/>
      <c r="U26" s="1328" t="s">
        <v>402</v>
      </c>
      <c r="V26" s="1328"/>
      <c r="W26" s="1328"/>
      <c r="X26" s="1328"/>
      <c r="Y26" s="1328"/>
      <c r="Z26" s="1328"/>
      <c r="AA26" s="1328"/>
      <c r="AB26" s="1328"/>
      <c r="AC26" s="1329"/>
      <c r="AD26" s="416"/>
      <c r="AE26" s="1323" t="s">
        <v>621</v>
      </c>
      <c r="AF26" s="1322"/>
      <c r="AG26" s="416"/>
      <c r="AH26" s="1323" t="s">
        <v>622</v>
      </c>
      <c r="AI26" s="1322"/>
      <c r="AJ26" s="416"/>
      <c r="AK26" s="1323" t="s">
        <v>2666</v>
      </c>
      <c r="AL26" s="1324"/>
    </row>
    <row r="27" spans="2:38" ht="12.75">
      <c r="B27" s="1328" t="s">
        <v>403</v>
      </c>
      <c r="C27" s="1328"/>
      <c r="D27" s="1328"/>
      <c r="E27" s="1328"/>
      <c r="F27" s="1328"/>
      <c r="G27" s="1328"/>
      <c r="H27" s="1328"/>
      <c r="I27" s="1328"/>
      <c r="J27" s="1328"/>
      <c r="K27" s="1329"/>
      <c r="L27" s="416"/>
      <c r="M27" s="1323" t="s">
        <v>621</v>
      </c>
      <c r="N27" s="1322"/>
      <c r="O27" s="416"/>
      <c r="P27" s="1323" t="s">
        <v>622</v>
      </c>
      <c r="Q27" s="1322"/>
      <c r="R27" s="416"/>
      <c r="S27" s="1323" t="s">
        <v>2666</v>
      </c>
      <c r="T27" s="1324"/>
      <c r="U27" s="1328" t="s">
        <v>402</v>
      </c>
      <c r="V27" s="1328"/>
      <c r="W27" s="1328"/>
      <c r="X27" s="1328"/>
      <c r="Y27" s="1328"/>
      <c r="Z27" s="1328"/>
      <c r="AA27" s="1328"/>
      <c r="AB27" s="1328"/>
      <c r="AC27" s="1329"/>
      <c r="AD27" s="416"/>
      <c r="AE27" s="1323" t="s">
        <v>621</v>
      </c>
      <c r="AF27" s="1322"/>
      <c r="AG27" s="416"/>
      <c r="AH27" s="1323" t="s">
        <v>622</v>
      </c>
      <c r="AI27" s="1322"/>
      <c r="AJ27" s="416"/>
      <c r="AK27" s="1323" t="s">
        <v>2666</v>
      </c>
      <c r="AL27" s="1324"/>
    </row>
    <row r="28" spans="2:38" ht="12.75">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30"/>
      <c r="AE28" s="429"/>
      <c r="AF28" s="429"/>
      <c r="AG28" s="430"/>
      <c r="AH28" s="429"/>
      <c r="AI28" s="429"/>
      <c r="AJ28" s="429"/>
      <c r="AK28" s="429"/>
      <c r="AL28" s="429"/>
    </row>
    <row r="29" spans="1:38" ht="12.75">
      <c r="A29" s="405" t="s">
        <v>245</v>
      </c>
      <c r="B29" s="1318" t="s">
        <v>2523</v>
      </c>
      <c r="C29" s="1318"/>
      <c r="D29" s="1318"/>
      <c r="E29" s="1318"/>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27"/>
      <c r="AD29" s="416"/>
      <c r="AE29" s="1323" t="s">
        <v>621</v>
      </c>
      <c r="AF29" s="1322"/>
      <c r="AG29" s="416"/>
      <c r="AH29" s="1323" t="s">
        <v>622</v>
      </c>
      <c r="AI29" s="1322"/>
      <c r="AJ29" s="416"/>
      <c r="AK29" s="1323" t="s">
        <v>2666</v>
      </c>
      <c r="AL29" s="1324"/>
    </row>
    <row r="30" spans="2:28" ht="12.7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8" ht="12.75">
      <c r="A31" s="405" t="s">
        <v>247</v>
      </c>
      <c r="B31" s="1318" t="s">
        <v>3785</v>
      </c>
      <c r="C31" s="1318"/>
      <c r="D31" s="1318"/>
      <c r="E31" s="1318"/>
      <c r="F31" s="1318"/>
      <c r="G31" s="1318"/>
      <c r="H31" s="1318"/>
      <c r="I31" s="1318"/>
      <c r="J31" s="1318"/>
      <c r="K31" s="1318"/>
      <c r="L31" s="1318"/>
      <c r="M31" s="1318"/>
      <c r="N31" s="1318"/>
      <c r="O31" s="1318"/>
      <c r="P31" s="1318"/>
      <c r="Q31" s="1318"/>
      <c r="R31" s="1318"/>
      <c r="S31" s="1318"/>
      <c r="T31" s="1318"/>
      <c r="U31" s="1318"/>
      <c r="V31" s="1318"/>
      <c r="W31" s="1318"/>
      <c r="X31" s="1318"/>
      <c r="Y31" s="1318"/>
      <c r="Z31" s="1318"/>
      <c r="AA31" s="1318"/>
      <c r="AB31" s="1318"/>
      <c r="AC31" s="1318"/>
      <c r="AD31" s="416"/>
      <c r="AE31" s="1323" t="s">
        <v>621</v>
      </c>
      <c r="AF31" s="1322"/>
      <c r="AG31" s="416"/>
      <c r="AH31" s="1323" t="s">
        <v>622</v>
      </c>
      <c r="AI31" s="1322"/>
      <c r="AJ31" s="416"/>
      <c r="AK31" s="1323" t="s">
        <v>2666</v>
      </c>
      <c r="AL31" s="1324"/>
    </row>
    <row r="32" spans="2:37" ht="12.75">
      <c r="B32" s="1318"/>
      <c r="C32" s="1318"/>
      <c r="D32" s="1318"/>
      <c r="E32" s="1318"/>
      <c r="F32" s="1318"/>
      <c r="G32" s="1318"/>
      <c r="H32" s="1318"/>
      <c r="I32" s="1318"/>
      <c r="J32" s="1318"/>
      <c r="K32" s="1318"/>
      <c r="L32" s="1318"/>
      <c r="M32" s="1318"/>
      <c r="N32" s="1318"/>
      <c r="O32" s="1318"/>
      <c r="P32" s="1318"/>
      <c r="Q32" s="1318"/>
      <c r="R32" s="1318"/>
      <c r="S32" s="1318"/>
      <c r="T32" s="1318"/>
      <c r="U32" s="1318"/>
      <c r="V32" s="1318"/>
      <c r="W32" s="1318"/>
      <c r="X32" s="1318"/>
      <c r="Y32" s="1318"/>
      <c r="Z32" s="1318"/>
      <c r="AA32" s="1318"/>
      <c r="AB32" s="1318"/>
      <c r="AC32" s="1318"/>
      <c r="AD32" s="418"/>
      <c r="AE32" s="1326"/>
      <c r="AF32" s="1326"/>
      <c r="AG32" s="418"/>
      <c r="AH32" s="1326"/>
      <c r="AI32" s="1326"/>
      <c r="AJ32" s="431"/>
      <c r="AK32" s="431"/>
    </row>
    <row r="34" spans="1:38" ht="12.75">
      <c r="A34" s="405" t="s">
        <v>250</v>
      </c>
      <c r="B34" s="1319" t="s">
        <v>2524</v>
      </c>
      <c r="C34" s="1319"/>
      <c r="D34" s="1319"/>
      <c r="E34" s="1319"/>
      <c r="F34" s="1319"/>
      <c r="G34" s="1319"/>
      <c r="H34" s="1319"/>
      <c r="I34" s="1319"/>
      <c r="J34" s="1319"/>
      <c r="K34" s="1319"/>
      <c r="L34" s="1319"/>
      <c r="M34" s="1319"/>
      <c r="N34" s="1319"/>
      <c r="O34" s="1319"/>
      <c r="P34" s="1319"/>
      <c r="Q34" s="1319"/>
      <c r="R34" s="1319"/>
      <c r="S34" s="1319"/>
      <c r="T34" s="1319"/>
      <c r="U34" s="1319"/>
      <c r="V34" s="1319"/>
      <c r="W34" s="1319"/>
      <c r="X34" s="1319"/>
      <c r="Y34" s="1319"/>
      <c r="Z34" s="1319"/>
      <c r="AA34" s="1319"/>
      <c r="AB34" s="1319"/>
      <c r="AC34" s="1322"/>
      <c r="AD34" s="416"/>
      <c r="AE34" s="1323" t="s">
        <v>621</v>
      </c>
      <c r="AF34" s="1322"/>
      <c r="AG34" s="416"/>
      <c r="AH34" s="1323" t="s">
        <v>622</v>
      </c>
      <c r="AI34" s="1322"/>
      <c r="AJ34" s="416"/>
      <c r="AK34" s="1323" t="s">
        <v>2666</v>
      </c>
      <c r="AL34" s="1324"/>
    </row>
    <row r="36" spans="1:38" ht="12.75">
      <c r="A36" s="405" t="s">
        <v>252</v>
      </c>
      <c r="B36" s="1319" t="s">
        <v>2525</v>
      </c>
      <c r="C36" s="1319"/>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22"/>
      <c r="AD36" s="416"/>
      <c r="AE36" s="1323" t="s">
        <v>621</v>
      </c>
      <c r="AF36" s="1322"/>
      <c r="AG36" s="416"/>
      <c r="AH36" s="1323" t="s">
        <v>622</v>
      </c>
      <c r="AI36" s="1322"/>
      <c r="AJ36" s="416"/>
      <c r="AK36" s="1323" t="s">
        <v>2666</v>
      </c>
      <c r="AL36" s="1324"/>
    </row>
    <row r="37" spans="1:33" s="408" customFormat="1" ht="12.75">
      <c r="A37" s="409"/>
      <c r="AD37" s="432"/>
      <c r="AG37" s="432"/>
    </row>
    <row r="38" spans="1:38" ht="12.75">
      <c r="A38" s="405" t="s">
        <v>254</v>
      </c>
      <c r="B38" s="1319" t="s">
        <v>2526</v>
      </c>
      <c r="C38" s="1319"/>
      <c r="D38" s="1319"/>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1322"/>
      <c r="AD38" s="416"/>
      <c r="AE38" s="1323" t="s">
        <v>621</v>
      </c>
      <c r="AF38" s="1322"/>
      <c r="AG38" s="416"/>
      <c r="AH38" s="1323" t="s">
        <v>622</v>
      </c>
      <c r="AI38" s="1322"/>
      <c r="AJ38" s="416"/>
      <c r="AK38" s="1323" t="s">
        <v>2666</v>
      </c>
      <c r="AL38" s="1324"/>
    </row>
    <row r="39" spans="1:36" s="408" customFormat="1" ht="12.75">
      <c r="A39" s="409"/>
      <c r="AD39" s="432"/>
      <c r="AG39" s="432"/>
      <c r="AJ39" s="432"/>
    </row>
    <row r="40" spans="1:38" ht="12.75">
      <c r="A40" s="405" t="s">
        <v>256</v>
      </c>
      <c r="B40" s="1318" t="s">
        <v>2527</v>
      </c>
      <c r="C40" s="1318"/>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416"/>
      <c r="AE40" s="1323" t="s">
        <v>621</v>
      </c>
      <c r="AF40" s="1322"/>
      <c r="AG40" s="416"/>
      <c r="AH40" s="1323" t="s">
        <v>622</v>
      </c>
      <c r="AI40" s="1322"/>
      <c r="AJ40" s="416"/>
      <c r="AK40" s="1323" t="s">
        <v>2666</v>
      </c>
      <c r="AL40" s="1324"/>
    </row>
    <row r="41" spans="1:36" s="408" customFormat="1" ht="12.75">
      <c r="A41" s="409"/>
      <c r="B41" s="1318"/>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422"/>
      <c r="AG41" s="422"/>
      <c r="AJ41" s="423"/>
    </row>
    <row r="42" spans="1:36" s="408" customFormat="1" ht="12.75">
      <c r="A42" s="409"/>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23"/>
      <c r="AG42" s="423"/>
      <c r="AJ42" s="423"/>
    </row>
    <row r="43" spans="1:38" s="408" customFormat="1" ht="12.75">
      <c r="A43" s="409" t="s">
        <v>258</v>
      </c>
      <c r="B43" s="1319" t="s">
        <v>2528</v>
      </c>
      <c r="C43" s="1319"/>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22"/>
      <c r="AD43" s="416"/>
      <c r="AE43" s="1323" t="s">
        <v>621</v>
      </c>
      <c r="AF43" s="1322"/>
      <c r="AG43" s="416"/>
      <c r="AH43" s="1323" t="s">
        <v>622</v>
      </c>
      <c r="AI43" s="1322"/>
      <c r="AJ43" s="416"/>
      <c r="AK43" s="1323" t="s">
        <v>2666</v>
      </c>
      <c r="AL43" s="1324"/>
    </row>
    <row r="45" spans="1:38" ht="12.75">
      <c r="A45" s="405" t="s">
        <v>3131</v>
      </c>
      <c r="B45" s="1319" t="s">
        <v>2529</v>
      </c>
      <c r="C45" s="1319"/>
      <c r="D45" s="1319"/>
      <c r="E45" s="1319"/>
      <c r="F45" s="1319"/>
      <c r="G45" s="1319"/>
      <c r="H45" s="1319"/>
      <c r="I45" s="1319"/>
      <c r="J45" s="1319"/>
      <c r="K45" s="1319"/>
      <c r="L45" s="1319"/>
      <c r="M45" s="1319"/>
      <c r="N45" s="1319"/>
      <c r="O45" s="1319"/>
      <c r="P45" s="1319"/>
      <c r="Q45" s="1319"/>
      <c r="R45" s="1319"/>
      <c r="S45" s="1319"/>
      <c r="T45" s="1319"/>
      <c r="U45" s="1319"/>
      <c r="V45" s="1319"/>
      <c r="W45" s="1319"/>
      <c r="X45" s="1319"/>
      <c r="Y45" s="1319"/>
      <c r="Z45" s="1319"/>
      <c r="AA45" s="1319"/>
      <c r="AB45" s="1319"/>
      <c r="AC45" s="1322"/>
      <c r="AD45" s="416"/>
      <c r="AE45" s="1323" t="s">
        <v>621</v>
      </c>
      <c r="AF45" s="1322"/>
      <c r="AG45" s="416"/>
      <c r="AH45" s="1323" t="s">
        <v>622</v>
      </c>
      <c r="AI45" s="1322"/>
      <c r="AJ45" s="416"/>
      <c r="AK45" s="1323" t="s">
        <v>2666</v>
      </c>
      <c r="AL45" s="1324"/>
    </row>
    <row r="46" spans="1:37" ht="12.75">
      <c r="A46" s="405"/>
      <c r="AC46" s="57"/>
      <c r="AD46" s="419"/>
      <c r="AE46" s="413"/>
      <c r="AF46" s="413"/>
      <c r="AG46" s="419"/>
      <c r="AH46" s="413"/>
      <c r="AI46" s="413"/>
      <c r="AJ46" s="419"/>
      <c r="AK46" s="413"/>
    </row>
    <row r="47" spans="1:38" ht="17.25">
      <c r="A47" s="1325" t="s">
        <v>2530</v>
      </c>
      <c r="B47" s="1325"/>
      <c r="C47" s="1325"/>
      <c r="D47" s="1325"/>
      <c r="E47" s="1325"/>
      <c r="F47" s="1325"/>
      <c r="G47" s="1325"/>
      <c r="H47" s="1325"/>
      <c r="I47" s="1325"/>
      <c r="J47" s="1325"/>
      <c r="K47" s="1325"/>
      <c r="L47" s="1325"/>
      <c r="M47" s="1325"/>
      <c r="N47" s="1325"/>
      <c r="O47" s="1325"/>
      <c r="P47" s="1325"/>
      <c r="Q47" s="1325"/>
      <c r="R47" s="1325"/>
      <c r="S47" s="1325"/>
      <c r="T47" s="1325"/>
      <c r="U47" s="1325"/>
      <c r="V47" s="1325"/>
      <c r="W47" s="1325"/>
      <c r="X47" s="1325"/>
      <c r="Y47" s="1325"/>
      <c r="Z47" s="1325"/>
      <c r="AA47" s="1325"/>
      <c r="AB47" s="1325"/>
      <c r="AC47" s="1325"/>
      <c r="AD47" s="1325"/>
      <c r="AE47" s="1325"/>
      <c r="AF47" s="1325"/>
      <c r="AG47" s="1325"/>
      <c r="AH47" s="1325"/>
      <c r="AI47" s="1325"/>
      <c r="AJ47" s="1325"/>
      <c r="AK47" s="1325"/>
      <c r="AL47" s="1325"/>
    </row>
    <row r="48" spans="1:38" ht="12.75">
      <c r="A48" s="425"/>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row>
    <row r="49" spans="1:38" ht="12.75">
      <c r="A49" s="405" t="s">
        <v>1017</v>
      </c>
      <c r="B49" s="1319" t="s">
        <v>2531</v>
      </c>
      <c r="C49" s="1319"/>
      <c r="D49" s="1319"/>
      <c r="E49" s="1319"/>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1319"/>
      <c r="AC49" s="1322"/>
      <c r="AD49" s="416"/>
      <c r="AE49" s="1323" t="s">
        <v>621</v>
      </c>
      <c r="AF49" s="1322"/>
      <c r="AG49" s="416"/>
      <c r="AH49" s="1323" t="s">
        <v>622</v>
      </c>
      <c r="AI49" s="1322"/>
      <c r="AJ49" s="416"/>
      <c r="AK49" s="1323" t="s">
        <v>2666</v>
      </c>
      <c r="AL49" s="1324"/>
    </row>
    <row r="51" spans="1:38" ht="12.75">
      <c r="A51" s="405" t="s">
        <v>1020</v>
      </c>
      <c r="B51" s="1319" t="s">
        <v>2532</v>
      </c>
      <c r="C51" s="1319"/>
      <c r="D51" s="1319"/>
      <c r="E51" s="1319"/>
      <c r="F51" s="1319"/>
      <c r="G51" s="1319"/>
      <c r="H51" s="1319"/>
      <c r="I51" s="1319"/>
      <c r="J51" s="1319"/>
      <c r="K51" s="1319"/>
      <c r="L51" s="1319"/>
      <c r="M51" s="1319"/>
      <c r="N51" s="1319"/>
      <c r="O51" s="1319"/>
      <c r="P51" s="1319"/>
      <c r="Q51" s="1319"/>
      <c r="R51" s="1319"/>
      <c r="S51" s="1319"/>
      <c r="T51" s="1319"/>
      <c r="U51" s="1319"/>
      <c r="V51" s="1319"/>
      <c r="W51" s="1319"/>
      <c r="X51" s="1319"/>
      <c r="Y51" s="1319"/>
      <c r="Z51" s="1319"/>
      <c r="AA51" s="1319"/>
      <c r="AB51" s="1319"/>
      <c r="AC51" s="1322"/>
      <c r="AD51" s="416"/>
      <c r="AE51" s="1323" t="s">
        <v>621</v>
      </c>
      <c r="AF51" s="1322"/>
      <c r="AG51" s="416"/>
      <c r="AH51" s="1323" t="s">
        <v>622</v>
      </c>
      <c r="AI51" s="1322"/>
      <c r="AJ51" s="416"/>
      <c r="AK51" s="1323" t="s">
        <v>2666</v>
      </c>
      <c r="AL51" s="1324"/>
    </row>
    <row r="54" spans="1:38" ht="17.25">
      <c r="A54" s="1325" t="s">
        <v>2533</v>
      </c>
      <c r="B54" s="1325"/>
      <c r="C54" s="1325"/>
      <c r="D54" s="1325"/>
      <c r="E54" s="1325"/>
      <c r="F54" s="1325"/>
      <c r="G54" s="1325"/>
      <c r="H54" s="1325"/>
      <c r="I54" s="1325"/>
      <c r="J54" s="1325"/>
      <c r="K54" s="1325"/>
      <c r="L54" s="1325"/>
      <c r="M54" s="1325"/>
      <c r="N54" s="1325"/>
      <c r="O54" s="1325"/>
      <c r="P54" s="1325"/>
      <c r="Q54" s="1325"/>
      <c r="R54" s="1325"/>
      <c r="S54" s="1325"/>
      <c r="T54" s="1325"/>
      <c r="U54" s="1325"/>
      <c r="V54" s="1325"/>
      <c r="W54" s="1325"/>
      <c r="X54" s="1325"/>
      <c r="Y54" s="1325"/>
      <c r="Z54" s="1325"/>
      <c r="AA54" s="1325"/>
      <c r="AB54" s="1325"/>
      <c r="AC54" s="1325"/>
      <c r="AD54" s="1325"/>
      <c r="AE54" s="1325"/>
      <c r="AF54" s="1325"/>
      <c r="AG54" s="1325"/>
      <c r="AH54" s="1325"/>
      <c r="AI54" s="1325"/>
      <c r="AJ54" s="1325"/>
      <c r="AK54" s="1325"/>
      <c r="AL54" s="1325"/>
    </row>
    <row r="55" spans="1:38" ht="12.75">
      <c r="A55" s="425"/>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row>
    <row r="56" spans="1:38" ht="12.75">
      <c r="A56" s="405" t="s">
        <v>1022</v>
      </c>
      <c r="B56" s="1318" t="s">
        <v>2534</v>
      </c>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27"/>
      <c r="AD56" s="416"/>
      <c r="AE56" s="1323" t="s">
        <v>621</v>
      </c>
      <c r="AF56" s="1322"/>
      <c r="AG56" s="416"/>
      <c r="AH56" s="1323" t="s">
        <v>622</v>
      </c>
      <c r="AI56" s="1322"/>
      <c r="AJ56" s="416"/>
      <c r="AK56" s="1323" t="s">
        <v>2666</v>
      </c>
      <c r="AL56" s="1324"/>
    </row>
    <row r="57" spans="2:38" ht="12.75">
      <c r="B57" s="1319" t="s">
        <v>2535</v>
      </c>
      <c r="C57" s="1319"/>
      <c r="D57" s="1319"/>
      <c r="E57" s="1319"/>
      <c r="F57" s="1319"/>
      <c r="G57" s="1319"/>
      <c r="H57" s="1319"/>
      <c r="I57" s="1319"/>
      <c r="J57" s="1319"/>
      <c r="K57" s="1319"/>
      <c r="L57" s="1319"/>
      <c r="M57" s="1319"/>
      <c r="N57" s="1319"/>
      <c r="O57" s="1319"/>
      <c r="P57" s="1319"/>
      <c r="Q57" s="1319"/>
      <c r="R57" s="1319"/>
      <c r="S57" s="1321"/>
      <c r="T57" s="1321"/>
      <c r="U57" s="1321"/>
      <c r="V57" s="1321"/>
      <c r="W57" s="1321"/>
      <c r="X57" s="1321"/>
      <c r="Y57" s="1321"/>
      <c r="Z57" s="1321"/>
      <c r="AA57" s="1321"/>
      <c r="AB57" s="1321"/>
      <c r="AC57" s="1321"/>
      <c r="AD57" s="1321"/>
      <c r="AE57" s="1321"/>
      <c r="AF57" s="1321"/>
      <c r="AG57" s="1321"/>
      <c r="AH57" s="1321"/>
      <c r="AI57" s="1321"/>
      <c r="AJ57" s="1321"/>
      <c r="AK57" s="1321"/>
      <c r="AL57" s="1321"/>
    </row>
    <row r="58" spans="2:7" ht="12.75">
      <c r="B58" s="1319"/>
      <c r="C58" s="1319"/>
      <c r="D58" s="1319"/>
      <c r="E58" s="1319"/>
      <c r="F58" s="1319"/>
      <c r="G58" s="1319"/>
    </row>
    <row r="59" spans="1:2" ht="12.75">
      <c r="A59" s="405" t="s">
        <v>1027</v>
      </c>
      <c r="B59" s="6" t="s">
        <v>2536</v>
      </c>
    </row>
    <row r="61" spans="1:38" ht="12.75">
      <c r="A61" s="405" t="s">
        <v>1029</v>
      </c>
      <c r="B61" s="1319" t="s">
        <v>2537</v>
      </c>
      <c r="C61" s="1319"/>
      <c r="D61" s="1319"/>
      <c r="E61" s="1319"/>
      <c r="F61" s="1319"/>
      <c r="G61" s="1319"/>
      <c r="H61" s="1319"/>
      <c r="I61" s="1319"/>
      <c r="J61" s="1319"/>
      <c r="K61" s="1319"/>
      <c r="L61" s="1319"/>
      <c r="M61" s="1319"/>
      <c r="N61" s="1319"/>
      <c r="O61" s="1319"/>
      <c r="P61" s="1319"/>
      <c r="Q61" s="1319"/>
      <c r="R61" s="1319"/>
      <c r="S61" s="1319"/>
      <c r="T61" s="1319"/>
      <c r="U61" s="1319"/>
      <c r="V61" s="1319"/>
      <c r="W61" s="1319"/>
      <c r="X61" s="1319"/>
      <c r="Y61" s="1319"/>
      <c r="Z61" s="1319"/>
      <c r="AA61" s="1319"/>
      <c r="AB61" s="1319"/>
      <c r="AC61" s="1322"/>
      <c r="AD61" s="416"/>
      <c r="AE61" s="1323" t="s">
        <v>621</v>
      </c>
      <c r="AF61" s="1322"/>
      <c r="AG61" s="416"/>
      <c r="AH61" s="1323" t="s">
        <v>622</v>
      </c>
      <c r="AI61" s="1322"/>
      <c r="AJ61" s="416"/>
      <c r="AK61" s="1323" t="s">
        <v>2666</v>
      </c>
      <c r="AL61" s="1324"/>
    </row>
    <row r="63" spans="1:38" ht="12.75">
      <c r="A63" s="405" t="s">
        <v>1031</v>
      </c>
      <c r="B63" s="1319" t="s">
        <v>2538</v>
      </c>
      <c r="C63" s="1319"/>
      <c r="D63" s="1319"/>
      <c r="E63" s="1319"/>
      <c r="F63" s="1319"/>
      <c r="G63" s="1319"/>
      <c r="H63" s="1319"/>
      <c r="I63" s="1319"/>
      <c r="J63" s="1319"/>
      <c r="K63" s="1319"/>
      <c r="L63" s="1319"/>
      <c r="M63" s="1319"/>
      <c r="N63" s="1319"/>
      <c r="O63" s="1319"/>
      <c r="P63" s="1319"/>
      <c r="Q63" s="1319"/>
      <c r="R63" s="1319"/>
      <c r="S63" s="1319"/>
      <c r="T63" s="1319"/>
      <c r="U63" s="1319"/>
      <c r="V63" s="1319"/>
      <c r="W63" s="1319"/>
      <c r="X63" s="1319"/>
      <c r="Y63" s="1319"/>
      <c r="Z63" s="1319"/>
      <c r="AA63" s="1319"/>
      <c r="AB63" s="1319"/>
      <c r="AC63" s="1322"/>
      <c r="AD63" s="416"/>
      <c r="AE63" s="1323" t="s">
        <v>621</v>
      </c>
      <c r="AF63" s="1322"/>
      <c r="AG63" s="416"/>
      <c r="AH63" s="1323" t="s">
        <v>622</v>
      </c>
      <c r="AI63" s="1322"/>
      <c r="AJ63" s="416"/>
      <c r="AK63" s="1323" t="s">
        <v>2666</v>
      </c>
      <c r="AL63" s="1324"/>
    </row>
    <row r="65" spans="1:38" ht="12.75">
      <c r="A65" s="405" t="s">
        <v>1035</v>
      </c>
      <c r="B65" s="1319" t="s">
        <v>2539</v>
      </c>
      <c r="C65" s="1319"/>
      <c r="D65" s="1319"/>
      <c r="E65" s="1319"/>
      <c r="F65" s="1319"/>
      <c r="G65" s="1319"/>
      <c r="H65" s="1319"/>
      <c r="I65" s="1319"/>
      <c r="J65" s="1319"/>
      <c r="K65" s="1319"/>
      <c r="L65" s="1319"/>
      <c r="M65" s="1319"/>
      <c r="N65" s="1319"/>
      <c r="O65" s="1319"/>
      <c r="P65" s="1319"/>
      <c r="Q65" s="1319"/>
      <c r="R65" s="1319"/>
      <c r="S65" s="1319"/>
      <c r="T65" s="1319"/>
      <c r="U65" s="1319"/>
      <c r="V65" s="1319"/>
      <c r="W65" s="1319"/>
      <c r="X65" s="1319"/>
      <c r="Y65" s="1319"/>
      <c r="Z65" s="1319"/>
      <c r="AA65" s="1319"/>
      <c r="AB65" s="1319"/>
      <c r="AC65" s="1322"/>
      <c r="AD65" s="416"/>
      <c r="AE65" s="1323" t="s">
        <v>621</v>
      </c>
      <c r="AF65" s="1322"/>
      <c r="AG65" s="416"/>
      <c r="AH65" s="1323" t="s">
        <v>622</v>
      </c>
      <c r="AI65" s="1322"/>
      <c r="AJ65" s="416"/>
      <c r="AK65" s="1323" t="s">
        <v>2666</v>
      </c>
      <c r="AL65" s="1324"/>
    </row>
    <row r="67" spans="1:38" ht="12.75">
      <c r="A67" s="405" t="s">
        <v>1037</v>
      </c>
      <c r="B67" s="1319" t="s">
        <v>2540</v>
      </c>
      <c r="C67" s="1319"/>
      <c r="D67" s="1319"/>
      <c r="E67" s="1319"/>
      <c r="F67" s="1319"/>
      <c r="G67" s="1319"/>
      <c r="H67" s="1319"/>
      <c r="I67" s="1319"/>
      <c r="J67" s="1319"/>
      <c r="K67" s="1319"/>
      <c r="L67" s="1319"/>
      <c r="M67" s="1319"/>
      <c r="N67" s="1319"/>
      <c r="O67" s="1319"/>
      <c r="P67" s="1319"/>
      <c r="Q67" s="1319"/>
      <c r="R67" s="1319"/>
      <c r="S67" s="1319"/>
      <c r="T67" s="1319"/>
      <c r="U67" s="1319"/>
      <c r="V67" s="1319"/>
      <c r="W67" s="1319"/>
      <c r="X67" s="1319"/>
      <c r="Y67" s="1319"/>
      <c r="Z67" s="1319"/>
      <c r="AA67" s="1319"/>
      <c r="AB67" s="1319"/>
      <c r="AC67" s="1322"/>
      <c r="AD67" s="416"/>
      <c r="AE67" s="1323" t="s">
        <v>621</v>
      </c>
      <c r="AF67" s="1322"/>
      <c r="AG67" s="416"/>
      <c r="AH67" s="1323" t="s">
        <v>622</v>
      </c>
      <c r="AI67" s="1322"/>
      <c r="AJ67" s="416"/>
      <c r="AK67" s="1323" t="s">
        <v>2666</v>
      </c>
      <c r="AL67" s="1324"/>
    </row>
    <row r="68" ht="12.75">
      <c r="A68" s="405"/>
    </row>
    <row r="69" spans="1:38" ht="12.75">
      <c r="A69" s="405" t="s">
        <v>1039</v>
      </c>
      <c r="B69" s="1319" t="s">
        <v>2541</v>
      </c>
      <c r="C69" s="1319"/>
      <c r="D69" s="1319"/>
      <c r="E69" s="1319"/>
      <c r="F69" s="1319"/>
      <c r="G69" s="1319"/>
      <c r="H69" s="1319"/>
      <c r="I69" s="1319"/>
      <c r="J69" s="1319"/>
      <c r="K69" s="1319"/>
      <c r="L69" s="1319"/>
      <c r="M69" s="1319"/>
      <c r="N69" s="1319"/>
      <c r="O69" s="1319"/>
      <c r="P69" s="1319"/>
      <c r="Q69" s="1319"/>
      <c r="R69" s="1319"/>
      <c r="S69" s="1319"/>
      <c r="T69" s="1319"/>
      <c r="U69" s="1319"/>
      <c r="V69" s="1319"/>
      <c r="W69" s="1319"/>
      <c r="X69" s="1319"/>
      <c r="Y69" s="1319"/>
      <c r="Z69" s="1319"/>
      <c r="AA69" s="1319"/>
      <c r="AB69" s="1319"/>
      <c r="AC69" s="1322"/>
      <c r="AD69" s="416"/>
      <c r="AE69" s="1323" t="s">
        <v>621</v>
      </c>
      <c r="AF69" s="1322"/>
      <c r="AG69" s="416"/>
      <c r="AH69" s="1323" t="s">
        <v>622</v>
      </c>
      <c r="AI69" s="1322"/>
      <c r="AJ69" s="416"/>
      <c r="AK69" s="1323" t="s">
        <v>2666</v>
      </c>
      <c r="AL69" s="1324"/>
    </row>
    <row r="71" spans="1:38" ht="12.75">
      <c r="A71" s="405" t="s">
        <v>1041</v>
      </c>
      <c r="B71" s="1318" t="s">
        <v>1296</v>
      </c>
      <c r="C71" s="1318"/>
      <c r="D71" s="1318"/>
      <c r="E71" s="1318"/>
      <c r="F71" s="1318"/>
      <c r="G71" s="1318"/>
      <c r="H71" s="1318"/>
      <c r="I71" s="1318"/>
      <c r="J71" s="1318"/>
      <c r="K71" s="1318"/>
      <c r="L71" s="1318"/>
      <c r="M71" s="1318"/>
      <c r="N71" s="1318"/>
      <c r="O71" s="1318"/>
      <c r="P71" s="1318"/>
      <c r="Q71" s="1318"/>
      <c r="R71" s="1318"/>
      <c r="S71" s="1318"/>
      <c r="T71" s="1318"/>
      <c r="U71" s="1318"/>
      <c r="V71" s="1318"/>
      <c r="W71" s="1318"/>
      <c r="X71" s="1318"/>
      <c r="Y71" s="1318"/>
      <c r="Z71" s="1318"/>
      <c r="AA71" s="1318"/>
      <c r="AB71" s="1318"/>
      <c r="AC71" s="1318"/>
      <c r="AD71" s="416"/>
      <c r="AE71" s="1323" t="s">
        <v>621</v>
      </c>
      <c r="AF71" s="1322"/>
      <c r="AG71" s="416"/>
      <c r="AH71" s="1323" t="s">
        <v>622</v>
      </c>
      <c r="AI71" s="1322"/>
      <c r="AJ71" s="416"/>
      <c r="AK71" s="1323" t="s">
        <v>2666</v>
      </c>
      <c r="AL71" s="1324"/>
    </row>
    <row r="72" spans="2:37" ht="12.75">
      <c r="B72" s="1318"/>
      <c r="C72" s="1318"/>
      <c r="D72" s="1318"/>
      <c r="E72" s="1318"/>
      <c r="F72" s="1318"/>
      <c r="G72" s="1318"/>
      <c r="H72" s="1318"/>
      <c r="I72" s="1318"/>
      <c r="J72" s="1318"/>
      <c r="K72" s="1318"/>
      <c r="L72" s="1318"/>
      <c r="M72" s="1318"/>
      <c r="N72" s="1318"/>
      <c r="O72" s="1318"/>
      <c r="P72" s="1318"/>
      <c r="Q72" s="1318"/>
      <c r="R72" s="1318"/>
      <c r="S72" s="1318"/>
      <c r="T72" s="1318"/>
      <c r="U72" s="1318"/>
      <c r="V72" s="1318"/>
      <c r="W72" s="1318"/>
      <c r="X72" s="1318"/>
      <c r="Y72" s="1318"/>
      <c r="Z72" s="1318"/>
      <c r="AA72" s="1318"/>
      <c r="AB72" s="1318"/>
      <c r="AC72" s="1318"/>
      <c r="AD72" s="423"/>
      <c r="AE72" s="408"/>
      <c r="AF72" s="408"/>
      <c r="AG72" s="423"/>
      <c r="AH72" s="408"/>
      <c r="AI72" s="408"/>
      <c r="AJ72" s="423"/>
      <c r="AK72" s="57"/>
    </row>
    <row r="74" spans="1:38" ht="12.75">
      <c r="A74" s="405" t="s">
        <v>1297</v>
      </c>
      <c r="B74" s="1319" t="s">
        <v>1298</v>
      </c>
      <c r="C74" s="1319"/>
      <c r="D74" s="1319"/>
      <c r="E74" s="1319"/>
      <c r="F74" s="1319"/>
      <c r="G74" s="1319"/>
      <c r="H74" s="1319"/>
      <c r="I74" s="1319"/>
      <c r="J74" s="1319"/>
      <c r="K74" s="1319"/>
      <c r="L74" s="1319"/>
      <c r="M74" s="1319"/>
      <c r="N74" s="1319"/>
      <c r="O74" s="1319"/>
      <c r="P74" s="1319"/>
      <c r="Q74" s="1319"/>
      <c r="R74" s="1319"/>
      <c r="S74" s="1319"/>
      <c r="T74" s="1319"/>
      <c r="U74" s="1319"/>
      <c r="V74" s="1319"/>
      <c r="W74" s="1319"/>
      <c r="X74" s="1319"/>
      <c r="Y74" s="1319"/>
      <c r="Z74" s="1319"/>
      <c r="AA74" s="1319"/>
      <c r="AB74" s="1319"/>
      <c r="AC74" s="1322"/>
      <c r="AD74" s="416"/>
      <c r="AE74" s="1323" t="s">
        <v>621</v>
      </c>
      <c r="AF74" s="1322"/>
      <c r="AG74" s="416"/>
      <c r="AH74" s="1323" t="s">
        <v>622</v>
      </c>
      <c r="AI74" s="1322"/>
      <c r="AJ74" s="416"/>
      <c r="AK74" s="1323" t="s">
        <v>2666</v>
      </c>
      <c r="AL74" s="1324"/>
    </row>
    <row r="75" spans="2:38" ht="12.75">
      <c r="B75" s="1319" t="s">
        <v>1299</v>
      </c>
      <c r="C75" s="1319"/>
      <c r="D75" s="1319"/>
      <c r="E75" s="1319"/>
      <c r="F75" s="1319"/>
      <c r="G75" s="1319"/>
      <c r="H75" s="1319"/>
      <c r="I75" s="1319"/>
      <c r="J75" s="1319"/>
      <c r="K75" s="1319"/>
      <c r="L75" s="1319"/>
      <c r="M75" s="1319"/>
      <c r="N75" s="1319"/>
      <c r="O75" s="1319"/>
      <c r="P75" s="1319"/>
      <c r="Q75" s="1319"/>
      <c r="R75" s="1319"/>
      <c r="S75" s="1319"/>
      <c r="T75" s="1319"/>
      <c r="U75" s="1319"/>
      <c r="V75" s="1319"/>
      <c r="W75" s="1319"/>
      <c r="X75" s="1319"/>
      <c r="Y75" s="1319"/>
      <c r="Z75" s="1319"/>
      <c r="AA75" s="1319"/>
      <c r="AB75" s="1319"/>
      <c r="AC75" s="1322"/>
      <c r="AD75" s="416"/>
      <c r="AE75" s="1323" t="s">
        <v>621</v>
      </c>
      <c r="AF75" s="1322"/>
      <c r="AG75" s="416"/>
      <c r="AH75" s="1323" t="s">
        <v>622</v>
      </c>
      <c r="AI75" s="1322"/>
      <c r="AJ75" s="416"/>
      <c r="AK75" s="1323" t="s">
        <v>2666</v>
      </c>
      <c r="AL75" s="1324"/>
    </row>
    <row r="77" spans="1:38" ht="12.75">
      <c r="A77" s="405" t="s">
        <v>1300</v>
      </c>
      <c r="B77" s="1319" t="s">
        <v>1301</v>
      </c>
      <c r="C77" s="1319"/>
      <c r="D77" s="1319"/>
      <c r="E77" s="1319"/>
      <c r="F77" s="1319"/>
      <c r="G77" s="1319"/>
      <c r="H77" s="1319"/>
      <c r="I77" s="1319"/>
      <c r="J77" s="1319"/>
      <c r="K77" s="1319"/>
      <c r="L77" s="1319"/>
      <c r="M77" s="1319"/>
      <c r="N77" s="1319"/>
      <c r="O77" s="1319"/>
      <c r="P77" s="1319"/>
      <c r="Q77" s="1319"/>
      <c r="R77" s="1319"/>
      <c r="S77" s="1319"/>
      <c r="T77" s="1319"/>
      <c r="U77" s="1319"/>
      <c r="V77" s="1319"/>
      <c r="W77" s="1319"/>
      <c r="X77" s="1319"/>
      <c r="Y77" s="1319"/>
      <c r="Z77" s="1319"/>
      <c r="AA77" s="1319"/>
      <c r="AB77" s="1319"/>
      <c r="AC77" s="1322"/>
      <c r="AD77" s="416"/>
      <c r="AE77" s="1323" t="s">
        <v>621</v>
      </c>
      <c r="AF77" s="1322"/>
      <c r="AG77" s="416"/>
      <c r="AH77" s="1323" t="s">
        <v>622</v>
      </c>
      <c r="AI77" s="1322"/>
      <c r="AJ77" s="416"/>
      <c r="AK77" s="1323" t="s">
        <v>2666</v>
      </c>
      <c r="AL77" s="1324"/>
    </row>
    <row r="79" spans="1:38" ht="12.75">
      <c r="A79" s="405" t="s">
        <v>1302</v>
      </c>
      <c r="B79" s="1319" t="s">
        <v>1303</v>
      </c>
      <c r="C79" s="1319"/>
      <c r="D79" s="1319"/>
      <c r="E79" s="1319"/>
      <c r="F79" s="1319"/>
      <c r="G79" s="1319"/>
      <c r="H79" s="1319"/>
      <c r="I79" s="1319"/>
      <c r="J79" s="1319"/>
      <c r="K79" s="1319"/>
      <c r="L79" s="1319"/>
      <c r="M79" s="1319"/>
      <c r="N79" s="1319"/>
      <c r="O79" s="1319"/>
      <c r="P79" s="1319"/>
      <c r="Q79" s="1319"/>
      <c r="R79" s="1319"/>
      <c r="S79" s="1319"/>
      <c r="T79" s="1319"/>
      <c r="U79" s="1319"/>
      <c r="V79" s="1319"/>
      <c r="W79" s="1319"/>
      <c r="X79" s="1319"/>
      <c r="Y79" s="1319"/>
      <c r="Z79" s="1319"/>
      <c r="AA79" s="1319"/>
      <c r="AB79" s="1319"/>
      <c r="AC79" s="1322"/>
      <c r="AD79" s="416"/>
      <c r="AE79" s="1323" t="s">
        <v>621</v>
      </c>
      <c r="AF79" s="1322"/>
      <c r="AG79" s="416"/>
      <c r="AH79" s="1323" t="s">
        <v>622</v>
      </c>
      <c r="AI79" s="1322"/>
      <c r="AJ79" s="416"/>
      <c r="AK79" s="1323" t="s">
        <v>2666</v>
      </c>
      <c r="AL79" s="1324"/>
    </row>
    <row r="81" spans="1:38" ht="12.75">
      <c r="A81" s="405" t="s">
        <v>1304</v>
      </c>
      <c r="B81" s="1319" t="s">
        <v>1305</v>
      </c>
      <c r="C81" s="1319"/>
      <c r="D81" s="1319"/>
      <c r="E81" s="1319"/>
      <c r="F81" s="1319"/>
      <c r="G81" s="1319"/>
      <c r="H81" s="1319"/>
      <c r="I81" s="1319"/>
      <c r="J81" s="1319"/>
      <c r="K81" s="1319"/>
      <c r="L81" s="1319"/>
      <c r="M81" s="1319"/>
      <c r="N81" s="1319"/>
      <c r="O81" s="1319"/>
      <c r="P81" s="1319"/>
      <c r="Q81" s="1319"/>
      <c r="R81" s="1319"/>
      <c r="S81" s="1319"/>
      <c r="T81" s="1319"/>
      <c r="U81" s="1319"/>
      <c r="V81" s="1319"/>
      <c r="W81" s="1319"/>
      <c r="X81" s="1319"/>
      <c r="Y81" s="1319"/>
      <c r="Z81" s="1319"/>
      <c r="AA81" s="1319"/>
      <c r="AB81" s="1319"/>
      <c r="AC81" s="1322"/>
      <c r="AD81" s="416"/>
      <c r="AE81" s="1323" t="s">
        <v>621</v>
      </c>
      <c r="AF81" s="1322"/>
      <c r="AG81" s="416"/>
      <c r="AH81" s="1323" t="s">
        <v>622</v>
      </c>
      <c r="AI81" s="1322"/>
      <c r="AJ81" s="416"/>
      <c r="AK81" s="1323" t="s">
        <v>2666</v>
      </c>
      <c r="AL81" s="1324"/>
    </row>
    <row r="83" spans="1:38" ht="12.75">
      <c r="A83" s="405" t="s">
        <v>1306</v>
      </c>
      <c r="B83" s="1319" t="s">
        <v>1307</v>
      </c>
      <c r="C83" s="1319"/>
      <c r="D83" s="1319"/>
      <c r="E83" s="1319"/>
      <c r="F83" s="1319"/>
      <c r="G83" s="1319"/>
      <c r="H83" s="1319"/>
      <c r="I83" s="1319"/>
      <c r="J83" s="1319"/>
      <c r="K83" s="1319"/>
      <c r="L83" s="1319"/>
      <c r="M83" s="1319"/>
      <c r="N83" s="1319"/>
      <c r="O83" s="1319"/>
      <c r="P83" s="1321"/>
      <c r="Q83" s="1321"/>
      <c r="R83" s="1321"/>
      <c r="S83" s="1321"/>
      <c r="T83" s="1321"/>
      <c r="U83" s="1321"/>
      <c r="V83" s="1321"/>
      <c r="W83" s="1321"/>
      <c r="X83" s="1321"/>
      <c r="Y83" s="1321"/>
      <c r="Z83" s="1321"/>
      <c r="AA83" s="1321"/>
      <c r="AB83" s="1321"/>
      <c r="AC83" s="1321"/>
      <c r="AD83" s="1321"/>
      <c r="AE83" s="1321"/>
      <c r="AF83" s="1321"/>
      <c r="AG83" s="1321"/>
      <c r="AH83" s="1321"/>
      <c r="AI83" s="1321"/>
      <c r="AJ83" s="1321"/>
      <c r="AK83" s="1321"/>
      <c r="AL83" s="1321"/>
    </row>
    <row r="85" spans="1:38" ht="12.75">
      <c r="A85" s="405" t="s">
        <v>1308</v>
      </c>
      <c r="B85" s="1319" t="s">
        <v>1309</v>
      </c>
      <c r="C85" s="1319"/>
      <c r="D85" s="1319"/>
      <c r="E85" s="1319"/>
      <c r="F85" s="1319"/>
      <c r="G85" s="1319"/>
      <c r="H85" s="1319"/>
      <c r="I85" s="1319"/>
      <c r="J85" s="1319"/>
      <c r="K85" s="1319"/>
      <c r="L85" s="1319"/>
      <c r="M85" s="1319"/>
      <c r="N85" s="1319"/>
      <c r="O85" s="1319"/>
      <c r="P85" s="1319"/>
      <c r="Q85" s="1319"/>
      <c r="R85" s="1319"/>
      <c r="S85" s="1319"/>
      <c r="T85" s="1319"/>
      <c r="U85" s="1319"/>
      <c r="V85" s="1319"/>
      <c r="W85" s="1319"/>
      <c r="X85" s="1319"/>
      <c r="Y85" s="1319"/>
      <c r="Z85" s="1319"/>
      <c r="AA85" s="1319"/>
      <c r="AB85" s="1319"/>
      <c r="AC85" s="1322"/>
      <c r="AD85" s="416"/>
      <c r="AE85" s="1323" t="s">
        <v>621</v>
      </c>
      <c r="AF85" s="1322"/>
      <c r="AG85" s="416"/>
      <c r="AH85" s="1323" t="s">
        <v>622</v>
      </c>
      <c r="AI85" s="1322"/>
      <c r="AJ85" s="416"/>
      <c r="AK85" s="1323" t="s">
        <v>2666</v>
      </c>
      <c r="AL85" s="1324"/>
    </row>
    <row r="86" spans="2:38" ht="12.75">
      <c r="B86" s="1319" t="s">
        <v>1310</v>
      </c>
      <c r="C86" s="1319"/>
      <c r="D86" s="1319"/>
      <c r="E86" s="1319"/>
      <c r="F86" s="1319"/>
      <c r="G86" s="1319"/>
      <c r="H86" s="1319"/>
      <c r="I86" s="1319"/>
      <c r="J86" s="1319"/>
      <c r="K86" s="1319"/>
      <c r="L86" s="1319"/>
      <c r="M86" s="1319"/>
      <c r="N86" s="1319"/>
      <c r="O86" s="1319"/>
      <c r="P86" s="1321"/>
      <c r="Q86" s="1321"/>
      <c r="R86" s="1321"/>
      <c r="S86" s="1321"/>
      <c r="T86" s="1321"/>
      <c r="U86" s="1321"/>
      <c r="V86" s="1321"/>
      <c r="W86" s="1321"/>
      <c r="X86" s="1321"/>
      <c r="Y86" s="1321"/>
      <c r="Z86" s="1321"/>
      <c r="AA86" s="1321"/>
      <c r="AB86" s="1321"/>
      <c r="AC86" s="1321"/>
      <c r="AD86" s="1321"/>
      <c r="AE86" s="1321"/>
      <c r="AF86" s="1321"/>
      <c r="AG86" s="1321"/>
      <c r="AH86" s="1321"/>
      <c r="AI86" s="1321"/>
      <c r="AJ86" s="1321"/>
      <c r="AK86" s="1321"/>
      <c r="AL86" s="1321"/>
    </row>
    <row r="88" spans="1:38" ht="12.75">
      <c r="A88" s="405" t="s">
        <v>1311</v>
      </c>
      <c r="B88" s="1319" t="s">
        <v>1312</v>
      </c>
      <c r="C88" s="1319"/>
      <c r="D88" s="1319"/>
      <c r="E88" s="1319"/>
      <c r="F88" s="1319"/>
      <c r="G88" s="1319"/>
      <c r="H88" s="1319"/>
      <c r="I88" s="1319"/>
      <c r="J88" s="1319"/>
      <c r="K88" s="1319"/>
      <c r="L88" s="1319"/>
      <c r="M88" s="1319"/>
      <c r="N88" s="1319"/>
      <c r="O88" s="1319"/>
      <c r="P88" s="1319"/>
      <c r="Q88" s="1319"/>
      <c r="R88" s="1319"/>
      <c r="S88" s="1319"/>
      <c r="T88" s="1319"/>
      <c r="U88" s="1319"/>
      <c r="V88" s="1319"/>
      <c r="W88" s="1319"/>
      <c r="X88" s="1319"/>
      <c r="Y88" s="1319"/>
      <c r="Z88" s="1319"/>
      <c r="AA88" s="1319"/>
      <c r="AB88" s="1319"/>
      <c r="AC88" s="1322"/>
      <c r="AD88" s="416"/>
      <c r="AE88" s="1323" t="s">
        <v>621</v>
      </c>
      <c r="AF88" s="1322"/>
      <c r="AG88" s="416"/>
      <c r="AH88" s="1323" t="s">
        <v>622</v>
      </c>
      <c r="AI88" s="1322"/>
      <c r="AJ88" s="416"/>
      <c r="AK88" s="1323" t="s">
        <v>2666</v>
      </c>
      <c r="AL88" s="1324"/>
    </row>
    <row r="90" spans="1:38" ht="12.75">
      <c r="A90" s="405" t="s">
        <v>1313</v>
      </c>
      <c r="B90" s="1319" t="s">
        <v>3786</v>
      </c>
      <c r="C90" s="1319"/>
      <c r="D90" s="1319"/>
      <c r="E90" s="1319"/>
      <c r="F90" s="1319"/>
      <c r="G90" s="1319"/>
      <c r="H90" s="1319"/>
      <c r="I90" s="1319"/>
      <c r="J90" s="1319"/>
      <c r="K90" s="1319"/>
      <c r="L90" s="1319"/>
      <c r="M90" s="1319"/>
      <c r="N90" s="1319"/>
      <c r="O90" s="1319"/>
      <c r="P90" s="1319"/>
      <c r="Q90" s="1319"/>
      <c r="R90" s="1319"/>
      <c r="S90" s="1319"/>
      <c r="T90" s="1319"/>
      <c r="U90" s="1319"/>
      <c r="V90" s="1319"/>
      <c r="W90" s="1319"/>
      <c r="X90" s="1319"/>
      <c r="Y90" s="1319"/>
      <c r="Z90" s="1319"/>
      <c r="AA90" s="1319"/>
      <c r="AB90" s="1319"/>
      <c r="AC90" s="1322"/>
      <c r="AD90" s="416"/>
      <c r="AE90" s="1323" t="s">
        <v>621</v>
      </c>
      <c r="AF90" s="1322"/>
      <c r="AG90" s="416"/>
      <c r="AH90" s="1323" t="s">
        <v>622</v>
      </c>
      <c r="AI90" s="1322"/>
      <c r="AJ90" s="416"/>
      <c r="AK90" s="1323" t="s">
        <v>2666</v>
      </c>
      <c r="AL90" s="1324"/>
    </row>
    <row r="92" spans="1:38" ht="12.75">
      <c r="A92" s="405" t="s">
        <v>1314</v>
      </c>
      <c r="B92" s="1319" t="s">
        <v>1315</v>
      </c>
      <c r="C92" s="1319"/>
      <c r="D92" s="1319"/>
      <c r="E92" s="1319"/>
      <c r="F92" s="1319"/>
      <c r="G92" s="1319"/>
      <c r="H92" s="1319"/>
      <c r="I92" s="1319"/>
      <c r="J92" s="1319"/>
      <c r="K92" s="1319"/>
      <c r="L92" s="1319"/>
      <c r="M92" s="1319"/>
      <c r="N92" s="1319"/>
      <c r="O92" s="1319"/>
      <c r="P92" s="1319"/>
      <c r="Q92" s="1319"/>
      <c r="R92" s="1319"/>
      <c r="S92" s="1319"/>
      <c r="T92" s="1319"/>
      <c r="U92" s="1319"/>
      <c r="V92" s="1319"/>
      <c r="W92" s="1319"/>
      <c r="X92" s="1319"/>
      <c r="Y92" s="1319"/>
      <c r="Z92" s="1319"/>
      <c r="AA92" s="1319"/>
      <c r="AB92" s="1319"/>
      <c r="AC92" s="1322"/>
      <c r="AD92" s="416"/>
      <c r="AE92" s="1323" t="s">
        <v>621</v>
      </c>
      <c r="AF92" s="1322"/>
      <c r="AG92" s="416"/>
      <c r="AH92" s="1323" t="s">
        <v>622</v>
      </c>
      <c r="AI92" s="1322"/>
      <c r="AJ92" s="416"/>
      <c r="AK92" s="1323" t="s">
        <v>2666</v>
      </c>
      <c r="AL92" s="1324"/>
    </row>
    <row r="94" spans="1:38" ht="12.75">
      <c r="A94" s="405" t="s">
        <v>1316</v>
      </c>
      <c r="B94" s="1318" t="s">
        <v>1317</v>
      </c>
      <c r="C94" s="1318"/>
      <c r="D94" s="1318"/>
      <c r="E94" s="1318"/>
      <c r="F94" s="1318"/>
      <c r="G94" s="1318"/>
      <c r="H94" s="1318"/>
      <c r="I94" s="1318"/>
      <c r="J94" s="1318"/>
      <c r="K94" s="1318"/>
      <c r="L94" s="1318"/>
      <c r="M94" s="1318"/>
      <c r="N94" s="1318"/>
      <c r="O94" s="1318"/>
      <c r="P94" s="1318"/>
      <c r="Q94" s="1318"/>
      <c r="R94" s="1318"/>
      <c r="S94" s="1318"/>
      <c r="T94" s="1318"/>
      <c r="U94" s="1318"/>
      <c r="V94" s="1318"/>
      <c r="W94" s="1318"/>
      <c r="X94" s="1318"/>
      <c r="Y94" s="1318"/>
      <c r="Z94" s="1318"/>
      <c r="AA94" s="1318"/>
      <c r="AB94" s="1318"/>
      <c r="AC94" s="1318"/>
      <c r="AD94" s="1318"/>
      <c r="AE94" s="1318"/>
      <c r="AF94" s="1318"/>
      <c r="AG94" s="1318"/>
      <c r="AH94" s="1318"/>
      <c r="AI94" s="1318"/>
      <c r="AJ94" s="1318"/>
      <c r="AK94" s="1318"/>
      <c r="AL94" s="1318"/>
    </row>
    <row r="95" spans="1:38" ht="12.75">
      <c r="A95" s="405"/>
      <c r="B95" s="1318"/>
      <c r="C95" s="1318"/>
      <c r="D95" s="1318"/>
      <c r="E95" s="1318"/>
      <c r="F95" s="1318"/>
      <c r="G95" s="1318"/>
      <c r="H95" s="1318"/>
      <c r="I95" s="1318"/>
      <c r="J95" s="1318"/>
      <c r="K95" s="1318"/>
      <c r="L95" s="1318"/>
      <c r="M95" s="1318"/>
      <c r="N95" s="1318"/>
      <c r="O95" s="1318"/>
      <c r="P95" s="1318"/>
      <c r="Q95" s="1318"/>
      <c r="R95" s="1318"/>
      <c r="S95" s="1318"/>
      <c r="T95" s="1318"/>
      <c r="U95" s="1318"/>
      <c r="V95" s="1318"/>
      <c r="W95" s="1318"/>
      <c r="X95" s="1318"/>
      <c r="Y95" s="1318"/>
      <c r="Z95" s="1318"/>
      <c r="AA95" s="1318"/>
      <c r="AB95" s="1318"/>
      <c r="AC95" s="1318"/>
      <c r="AD95" s="1318"/>
      <c r="AE95" s="1318"/>
      <c r="AF95" s="1318"/>
      <c r="AG95" s="1318"/>
      <c r="AH95" s="1318"/>
      <c r="AI95" s="1318"/>
      <c r="AJ95" s="1318"/>
      <c r="AK95" s="1318"/>
      <c r="AL95" s="1318"/>
    </row>
    <row r="97" spans="1:38" ht="12.75">
      <c r="A97" s="405" t="s">
        <v>1318</v>
      </c>
      <c r="B97" s="1319" t="s">
        <v>3787</v>
      </c>
      <c r="C97" s="1319"/>
      <c r="D97" s="1319"/>
      <c r="E97" s="1319"/>
      <c r="F97" s="1319"/>
      <c r="G97" s="1319"/>
      <c r="H97" s="1319"/>
      <c r="I97" s="1319"/>
      <c r="J97" s="1319"/>
      <c r="K97" s="1319"/>
      <c r="L97" s="1319"/>
      <c r="M97" s="1319"/>
      <c r="N97" s="1319"/>
      <c r="O97" s="1319"/>
      <c r="P97" s="1319"/>
      <c r="Q97" s="1319"/>
      <c r="R97" s="1319"/>
      <c r="S97" s="1319"/>
      <c r="T97" s="1319"/>
      <c r="U97" s="1319"/>
      <c r="V97" s="1319"/>
      <c r="W97" s="1319"/>
      <c r="X97" s="1319"/>
      <c r="Y97" s="1319"/>
      <c r="Z97" s="1319"/>
      <c r="AA97" s="1319"/>
      <c r="AB97" s="1319"/>
      <c r="AC97" s="1319"/>
      <c r="AD97" s="1319"/>
      <c r="AE97" s="1319"/>
      <c r="AF97" s="1319"/>
      <c r="AG97" s="1319"/>
      <c r="AH97" s="1319"/>
      <c r="AI97" s="1319"/>
      <c r="AJ97" s="1319"/>
      <c r="AK97" s="1319"/>
      <c r="AL97" s="1319"/>
    </row>
    <row r="99" spans="1:2" ht="12.75">
      <c r="A99" s="405" t="s">
        <v>1319</v>
      </c>
      <c r="B99" s="6" t="s">
        <v>2775</v>
      </c>
    </row>
    <row r="102" spans="6:38" ht="12.75">
      <c r="F102" s="1320"/>
      <c r="G102" s="1320"/>
      <c r="H102" s="1320"/>
      <c r="I102" s="1320"/>
      <c r="J102" s="1320"/>
      <c r="K102" s="1320"/>
      <c r="L102" s="1320"/>
      <c r="M102" s="1320"/>
      <c r="N102" s="1320"/>
      <c r="O102" s="1320"/>
      <c r="P102" s="1320"/>
      <c r="Q102" s="1320"/>
      <c r="R102" s="1320"/>
      <c r="S102" s="1320"/>
      <c r="T102" s="1320"/>
      <c r="U102" s="1320"/>
      <c r="V102" s="1320"/>
      <c r="W102" s="1320"/>
      <c r="X102" s="1320"/>
      <c r="Y102" s="1320"/>
      <c r="Z102" s="1320"/>
      <c r="AA102" s="1320"/>
      <c r="AB102" s="1320"/>
      <c r="AC102" s="1320"/>
      <c r="AD102" s="1320"/>
      <c r="AE102" s="1320"/>
      <c r="AF102" s="1320"/>
      <c r="AG102" s="1320"/>
      <c r="AH102" s="1320"/>
      <c r="AI102" s="1320"/>
      <c r="AJ102" s="1320"/>
      <c r="AK102" s="1320"/>
      <c r="AL102" s="1320"/>
    </row>
    <row r="103" spans="6:38" ht="12.75">
      <c r="F103" s="1320"/>
      <c r="G103" s="1320"/>
      <c r="H103" s="1320"/>
      <c r="I103" s="1320"/>
      <c r="J103" s="1320"/>
      <c r="K103" s="1320"/>
      <c r="L103" s="1320"/>
      <c r="M103" s="1320"/>
      <c r="N103" s="1320"/>
      <c r="O103" s="1320"/>
      <c r="P103" s="1320"/>
      <c r="Q103" s="1320"/>
      <c r="R103" s="1320"/>
      <c r="S103" s="1320"/>
      <c r="T103" s="1320"/>
      <c r="U103" s="1320"/>
      <c r="V103" s="1320"/>
      <c r="W103" s="1320"/>
      <c r="X103" s="1320"/>
      <c r="Y103" s="1320"/>
      <c r="Z103" s="1320"/>
      <c r="AA103" s="1320"/>
      <c r="AB103" s="1320"/>
      <c r="AC103" s="1320"/>
      <c r="AD103" s="1320"/>
      <c r="AE103" s="1320"/>
      <c r="AF103" s="1320"/>
      <c r="AG103" s="1320"/>
      <c r="AH103" s="1320"/>
      <c r="AI103" s="1320"/>
      <c r="AJ103" s="1320"/>
      <c r="AK103" s="1320"/>
      <c r="AL103" s="1320"/>
    </row>
    <row r="104" spans="6:38" ht="12.75">
      <c r="F104" s="1320"/>
      <c r="G104" s="1320"/>
      <c r="H104" s="1320"/>
      <c r="I104" s="1320"/>
      <c r="J104" s="1320"/>
      <c r="K104" s="1320"/>
      <c r="L104" s="1320"/>
      <c r="M104" s="1320"/>
      <c r="N104" s="1320"/>
      <c r="O104" s="1320"/>
      <c r="P104" s="1320"/>
      <c r="Q104" s="1320"/>
      <c r="R104" s="1320"/>
      <c r="S104" s="1320"/>
      <c r="T104" s="1320"/>
      <c r="U104" s="1320"/>
      <c r="V104" s="1320"/>
      <c r="W104" s="1320"/>
      <c r="X104" s="1320"/>
      <c r="Y104" s="1320"/>
      <c r="Z104" s="1320"/>
      <c r="AA104" s="1320"/>
      <c r="AB104" s="1320"/>
      <c r="AC104" s="1320"/>
      <c r="AD104" s="1320"/>
      <c r="AE104" s="1320"/>
      <c r="AF104" s="1320"/>
      <c r="AG104" s="1320"/>
      <c r="AH104" s="1320"/>
      <c r="AI104" s="1320"/>
      <c r="AJ104" s="1320"/>
      <c r="AK104" s="1320"/>
      <c r="AL104" s="1320"/>
    </row>
    <row r="105" spans="1:38" s="408" customFormat="1" ht="12.75">
      <c r="A105" s="6"/>
      <c r="F105" s="1320"/>
      <c r="G105" s="1320"/>
      <c r="H105" s="1320"/>
      <c r="I105" s="1320"/>
      <c r="J105" s="1320"/>
      <c r="K105" s="1320"/>
      <c r="L105" s="1320"/>
      <c r="M105" s="1320"/>
      <c r="N105" s="1320"/>
      <c r="O105" s="1320"/>
      <c r="P105" s="1320"/>
      <c r="Q105" s="1320"/>
      <c r="R105" s="1320"/>
      <c r="S105" s="1320"/>
      <c r="T105" s="1320"/>
      <c r="U105" s="1320"/>
      <c r="V105" s="1320"/>
      <c r="W105" s="1320"/>
      <c r="X105" s="1320"/>
      <c r="Y105" s="1320"/>
      <c r="Z105" s="1320"/>
      <c r="AA105" s="1320"/>
      <c r="AB105" s="1320"/>
      <c r="AC105" s="1320"/>
      <c r="AD105" s="1320"/>
      <c r="AE105" s="1320"/>
      <c r="AF105" s="1320"/>
      <c r="AG105" s="1320"/>
      <c r="AH105" s="1320"/>
      <c r="AI105" s="1320"/>
      <c r="AJ105" s="1320"/>
      <c r="AK105" s="1320"/>
      <c r="AL105" s="1320"/>
    </row>
    <row r="106" spans="1:38" ht="12.75">
      <c r="A106" s="1319" t="s">
        <v>1033</v>
      </c>
      <c r="B106" s="1319"/>
      <c r="C106" s="1319"/>
      <c r="D106" s="1319"/>
      <c r="E106" s="1319"/>
      <c r="F106" s="1321"/>
      <c r="G106" s="1321"/>
      <c r="H106" s="1321"/>
      <c r="I106" s="1321"/>
      <c r="J106" s="1321"/>
      <c r="K106" s="1321"/>
      <c r="L106" s="1321"/>
      <c r="M106" s="1321"/>
      <c r="N106" s="1321"/>
      <c r="O106" s="1321"/>
      <c r="P106" s="1321"/>
      <c r="Q106" s="1321"/>
      <c r="R106" s="1321"/>
      <c r="S106" s="1321"/>
      <c r="T106" s="1321"/>
      <c r="U106" s="1321"/>
      <c r="V106" s="1321"/>
      <c r="W106" s="1321"/>
      <c r="X106" s="1321"/>
      <c r="Y106" s="1321"/>
      <c r="Z106" s="1321"/>
      <c r="AA106" s="1321"/>
      <c r="AB106" s="1321"/>
      <c r="AC106" s="1321"/>
      <c r="AD106" s="1321"/>
      <c r="AE106" s="1321"/>
      <c r="AF106" s="1321"/>
      <c r="AG106" s="1321"/>
      <c r="AH106" s="1321"/>
      <c r="AI106" s="1321"/>
      <c r="AJ106" s="1321"/>
      <c r="AK106" s="1321"/>
      <c r="AL106" s="1321"/>
    </row>
    <row r="107" spans="1:38" s="433" customFormat="1" ht="12.75">
      <c r="A107" s="409"/>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row>
    <row r="109" ht="12.75">
      <c r="A109" s="433"/>
    </row>
  </sheetData>
  <sheetProtection password="CBEB" sheet="1" objects="1" scenarios="1"/>
  <mergeCells count="213">
    <mergeCell ref="G9:AL9"/>
    <mergeCell ref="E1:AH1"/>
    <mergeCell ref="AI1:AL1"/>
    <mergeCell ref="E2:AH2"/>
    <mergeCell ref="AI2:AL2"/>
    <mergeCell ref="E3:AH3"/>
    <mergeCell ref="AI3:AL3"/>
    <mergeCell ref="A14:AL14"/>
    <mergeCell ref="B16:AL16"/>
    <mergeCell ref="A5:AL5"/>
    <mergeCell ref="A7:F7"/>
    <mergeCell ref="G7:AL7"/>
    <mergeCell ref="A8:F8"/>
    <mergeCell ref="G8:AL8"/>
    <mergeCell ref="A10:F10"/>
    <mergeCell ref="G10:AL10"/>
    <mergeCell ref="A9:F9"/>
    <mergeCell ref="B17:K17"/>
    <mergeCell ref="M17:N17"/>
    <mergeCell ref="P17:Q17"/>
    <mergeCell ref="S17:T17"/>
    <mergeCell ref="U17:AC17"/>
    <mergeCell ref="A11:F11"/>
    <mergeCell ref="G11:AL11"/>
    <mergeCell ref="A12:F12"/>
    <mergeCell ref="G12:AL12"/>
    <mergeCell ref="AE17:AF17"/>
    <mergeCell ref="AH17:AI17"/>
    <mergeCell ref="AK17:AL17"/>
    <mergeCell ref="B18:K18"/>
    <mergeCell ref="M18:N18"/>
    <mergeCell ref="P18:Q18"/>
    <mergeCell ref="S18:T18"/>
    <mergeCell ref="U18:AC18"/>
    <mergeCell ref="AE18:AF18"/>
    <mergeCell ref="AH18:AI18"/>
    <mergeCell ref="AK18:AL18"/>
    <mergeCell ref="B19:K19"/>
    <mergeCell ref="M19:N19"/>
    <mergeCell ref="P19:Q19"/>
    <mergeCell ref="S19:T19"/>
    <mergeCell ref="U19:AC19"/>
    <mergeCell ref="AE19:AF19"/>
    <mergeCell ref="AH19:AI19"/>
    <mergeCell ref="AK19:AL19"/>
    <mergeCell ref="B20:K20"/>
    <mergeCell ref="M20:N20"/>
    <mergeCell ref="P20:Q20"/>
    <mergeCell ref="S20:T20"/>
    <mergeCell ref="U20:AC20"/>
    <mergeCell ref="AE20:AF20"/>
    <mergeCell ref="AH20:AI20"/>
    <mergeCell ref="AK20:AL20"/>
    <mergeCell ref="B21:K21"/>
    <mergeCell ref="M21:N21"/>
    <mergeCell ref="P21:Q21"/>
    <mergeCell ref="S21:T21"/>
    <mergeCell ref="U21:AC21"/>
    <mergeCell ref="AE21:AF21"/>
    <mergeCell ref="AH21:AI21"/>
    <mergeCell ref="AK21:AL21"/>
    <mergeCell ref="B22:K22"/>
    <mergeCell ref="M22:N22"/>
    <mergeCell ref="P22:Q22"/>
    <mergeCell ref="S22:T22"/>
    <mergeCell ref="U22:AC22"/>
    <mergeCell ref="AE22:AF22"/>
    <mergeCell ref="AH22:AI22"/>
    <mergeCell ref="AK22:AL22"/>
    <mergeCell ref="AE25:AF25"/>
    <mergeCell ref="AH25:AI25"/>
    <mergeCell ref="AK25:AL25"/>
    <mergeCell ref="B26:K26"/>
    <mergeCell ref="M26:N26"/>
    <mergeCell ref="P26:Q26"/>
    <mergeCell ref="S26:T26"/>
    <mergeCell ref="U26:AC26"/>
    <mergeCell ref="AE26:AF26"/>
    <mergeCell ref="B24:S24"/>
    <mergeCell ref="B25:K25"/>
    <mergeCell ref="M25:N25"/>
    <mergeCell ref="P25:Q25"/>
    <mergeCell ref="S25:T25"/>
    <mergeCell ref="B36:AC36"/>
    <mergeCell ref="U25:AC25"/>
    <mergeCell ref="B29:AC29"/>
    <mergeCell ref="AE36:AF36"/>
    <mergeCell ref="AH36:AI36"/>
    <mergeCell ref="AK36:AL36"/>
    <mergeCell ref="AH26:AI26"/>
    <mergeCell ref="AK26:AL26"/>
    <mergeCell ref="B27:K27"/>
    <mergeCell ref="M27:N27"/>
    <mergeCell ref="P27:Q27"/>
    <mergeCell ref="S27:T27"/>
    <mergeCell ref="U27:AC27"/>
    <mergeCell ref="B38:AC38"/>
    <mergeCell ref="AE38:AF38"/>
    <mergeCell ref="AH38:AI38"/>
    <mergeCell ref="AK38:AL38"/>
    <mergeCell ref="AH40:AI40"/>
    <mergeCell ref="AK40:AL40"/>
    <mergeCell ref="B40:AC41"/>
    <mergeCell ref="B43:AC43"/>
    <mergeCell ref="AE43:AF43"/>
    <mergeCell ref="AH43:AI43"/>
    <mergeCell ref="AK43:AL43"/>
    <mergeCell ref="AK74:AL74"/>
    <mergeCell ref="AK71:AL71"/>
    <mergeCell ref="B69:AC69"/>
    <mergeCell ref="AE69:AF69"/>
    <mergeCell ref="B56:AC56"/>
    <mergeCell ref="AE56:AF56"/>
    <mergeCell ref="B83:O83"/>
    <mergeCell ref="P83:AL83"/>
    <mergeCell ref="A54:AL54"/>
    <mergeCell ref="B49:AC49"/>
    <mergeCell ref="AE49:AF49"/>
    <mergeCell ref="AH49:AI49"/>
    <mergeCell ref="AH77:AI77"/>
    <mergeCell ref="B71:AC72"/>
    <mergeCell ref="AE71:AF71"/>
    <mergeCell ref="AH71:AI71"/>
    <mergeCell ref="B75:AC75"/>
    <mergeCell ref="AE75:AF75"/>
    <mergeCell ref="AH88:AI88"/>
    <mergeCell ref="AK88:AL88"/>
    <mergeCell ref="B74:AC74"/>
    <mergeCell ref="AH75:AI75"/>
    <mergeCell ref="B77:AC77"/>
    <mergeCell ref="AE77:AF77"/>
    <mergeCell ref="AE74:AF74"/>
    <mergeCell ref="AH74:AI74"/>
    <mergeCell ref="AE27:AF27"/>
    <mergeCell ref="AH27:AI27"/>
    <mergeCell ref="AK27:AL27"/>
    <mergeCell ref="AE29:AF29"/>
    <mergeCell ref="AH29:AI29"/>
    <mergeCell ref="AK29:AL29"/>
    <mergeCell ref="AK31:AL31"/>
    <mergeCell ref="B34:AC34"/>
    <mergeCell ref="AE34:AF34"/>
    <mergeCell ref="AH34:AI34"/>
    <mergeCell ref="AK34:AL34"/>
    <mergeCell ref="AE31:AF31"/>
    <mergeCell ref="AH31:AI31"/>
    <mergeCell ref="AE32:AF32"/>
    <mergeCell ref="AH32:AI32"/>
    <mergeCell ref="B31:AC32"/>
    <mergeCell ref="AH56:AI56"/>
    <mergeCell ref="AK56:AL56"/>
    <mergeCell ref="B45:AC45"/>
    <mergeCell ref="AE45:AF45"/>
    <mergeCell ref="AH45:AI45"/>
    <mergeCell ref="AK45:AL45"/>
    <mergeCell ref="A47:AL47"/>
    <mergeCell ref="AK49:AL49"/>
    <mergeCell ref="AE51:AF51"/>
    <mergeCell ref="AH51:AI51"/>
    <mergeCell ref="AK51:AL51"/>
    <mergeCell ref="B51:AC51"/>
    <mergeCell ref="AE40:AF40"/>
    <mergeCell ref="S57:AL57"/>
    <mergeCell ref="B58:G58"/>
    <mergeCell ref="B61:AC61"/>
    <mergeCell ref="AE61:AF61"/>
    <mergeCell ref="AH61:AI61"/>
    <mergeCell ref="AK61:AL61"/>
    <mergeCell ref="B57:R57"/>
    <mergeCell ref="B67:AC67"/>
    <mergeCell ref="AK67:AL67"/>
    <mergeCell ref="B65:AC65"/>
    <mergeCell ref="AE65:AF65"/>
    <mergeCell ref="AE67:AF67"/>
    <mergeCell ref="AH67:AI67"/>
    <mergeCell ref="AK75:AL75"/>
    <mergeCell ref="AK77:AL77"/>
    <mergeCell ref="B63:AC63"/>
    <mergeCell ref="AE63:AF63"/>
    <mergeCell ref="AH63:AI63"/>
    <mergeCell ref="AK63:AL63"/>
    <mergeCell ref="AH69:AI69"/>
    <mergeCell ref="AK69:AL69"/>
    <mergeCell ref="AH65:AI65"/>
    <mergeCell ref="AK65:AL65"/>
    <mergeCell ref="AK79:AL79"/>
    <mergeCell ref="B81:AC81"/>
    <mergeCell ref="AE81:AF81"/>
    <mergeCell ref="AH81:AI81"/>
    <mergeCell ref="AK81:AL81"/>
    <mergeCell ref="B79:AC79"/>
    <mergeCell ref="AE79:AF79"/>
    <mergeCell ref="AH79:AI79"/>
    <mergeCell ref="AH92:AI92"/>
    <mergeCell ref="AK92:AL92"/>
    <mergeCell ref="B85:AC85"/>
    <mergeCell ref="AE85:AF85"/>
    <mergeCell ref="AH85:AI85"/>
    <mergeCell ref="AK85:AL85"/>
    <mergeCell ref="B86:O86"/>
    <mergeCell ref="P86:AL86"/>
    <mergeCell ref="B88:AC88"/>
    <mergeCell ref="AE88:AF88"/>
    <mergeCell ref="B94:AL95"/>
    <mergeCell ref="B97:AL97"/>
    <mergeCell ref="F102:AL106"/>
    <mergeCell ref="A106:E106"/>
    <mergeCell ref="B90:AC90"/>
    <mergeCell ref="AE90:AF90"/>
    <mergeCell ref="AH90:AI90"/>
    <mergeCell ref="AK90:AL90"/>
    <mergeCell ref="B92:AC92"/>
    <mergeCell ref="AE92:AF92"/>
  </mergeCells>
  <printOptions/>
  <pageMargins left="0.25" right="0.25" top="0.25" bottom="0.5" header="0.25" footer="0.25"/>
  <pageSetup blackAndWhite="1" horizontalDpi="600" verticalDpi="600" orientation="portrait" r:id="rId1"/>
  <headerFooter alignWithMargins="0">
    <oddFooter>&amp;L&amp;F&amp;C&amp;D&amp;R&amp;A</oddFooter>
  </headerFooter>
</worksheet>
</file>

<file path=xl/worksheets/sheet14.xml><?xml version="1.0" encoding="utf-8"?>
<worksheet xmlns="http://schemas.openxmlformats.org/spreadsheetml/2006/main" xmlns:r="http://schemas.openxmlformats.org/officeDocument/2006/relationships">
  <dimension ref="A1:AZ235"/>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2776</v>
      </c>
      <c r="AJ1" s="1291"/>
      <c r="AK1" s="1291"/>
      <c r="AL1" s="1291"/>
    </row>
    <row r="2" spans="1:38" ht="12.75">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2385</v>
      </c>
      <c r="AJ2" s="1291"/>
      <c r="AK2" s="1291"/>
      <c r="AL2" s="1291"/>
    </row>
    <row r="3" spans="1:38" ht="12.75">
      <c r="A3" s="358"/>
      <c r="B3" s="273"/>
      <c r="C3" s="273"/>
      <c r="D3" s="273"/>
      <c r="E3" s="1290" t="s">
        <v>2383</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290" t="s">
        <v>2777</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2.75">
      <c r="A7" s="1319" t="s">
        <v>2665</v>
      </c>
      <c r="B7" s="1319"/>
      <c r="C7" s="1319"/>
      <c r="D7" s="1319"/>
      <c r="E7" s="1319"/>
      <c r="F7" s="1319"/>
      <c r="G7" s="1332" t="str">
        <f>Input!F2</f>
        <v>Lincoln</v>
      </c>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row>
    <row r="8" spans="1:38" ht="12.75">
      <c r="A8" s="1319" t="s">
        <v>2340</v>
      </c>
      <c r="B8" s="1319"/>
      <c r="C8" s="1319"/>
      <c r="D8" s="1319"/>
      <c r="E8" s="1319"/>
      <c r="F8" s="1319"/>
      <c r="G8" s="1332">
        <f>Input!F11</f>
        <v>25546</v>
      </c>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row>
    <row r="9" spans="1:38" ht="12.75">
      <c r="A9" s="1319" t="s">
        <v>2778</v>
      </c>
      <c r="B9" s="1319"/>
      <c r="C9" s="1319"/>
      <c r="D9" s="1319"/>
      <c r="E9" s="1319"/>
      <c r="F9" s="1319"/>
      <c r="G9" s="1332" t="str">
        <f>Input!F6</f>
        <v>8-163.00</v>
      </c>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row>
    <row r="10" spans="1:38" ht="12.75">
      <c r="A10" s="1319" t="s">
        <v>1203</v>
      </c>
      <c r="B10" s="1319"/>
      <c r="C10" s="1319"/>
      <c r="D10" s="1319"/>
      <c r="E10" s="1319"/>
      <c r="F10" s="1319"/>
      <c r="G10" s="1337" t="s">
        <v>405</v>
      </c>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row>
    <row r="11" spans="1:38" ht="12.75">
      <c r="A11" s="1319" t="s">
        <v>615</v>
      </c>
      <c r="B11" s="1319"/>
      <c r="C11" s="1319"/>
      <c r="D11" s="1319"/>
      <c r="E11" s="1319"/>
      <c r="F11" s="1319"/>
      <c r="G11" s="1330" t="s">
        <v>405</v>
      </c>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row>
    <row r="12" spans="1:38" ht="12.75">
      <c r="A12" s="1319" t="s">
        <v>616</v>
      </c>
      <c r="B12" s="1319"/>
      <c r="C12" s="1319"/>
      <c r="D12" s="1319"/>
      <c r="E12" s="1319"/>
      <c r="F12" s="1319"/>
      <c r="G12" s="1331" t="s">
        <v>405</v>
      </c>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row>
    <row r="14" spans="1:38" ht="17.25">
      <c r="A14" s="1334" t="s">
        <v>2779</v>
      </c>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19" t="s">
        <v>2780</v>
      </c>
      <c r="AA14" s="1319"/>
      <c r="AB14" s="1321"/>
      <c r="AC14" s="1321"/>
      <c r="AD14" s="1321"/>
      <c r="AE14" s="1321"/>
      <c r="AF14" s="1319" t="s">
        <v>2781</v>
      </c>
      <c r="AG14" s="1319"/>
      <c r="AH14" s="1319"/>
      <c r="AI14" s="1321"/>
      <c r="AJ14" s="1321"/>
      <c r="AK14" s="1321"/>
      <c r="AL14" s="1321"/>
    </row>
    <row r="15" spans="28:38" s="410" customFormat="1" ht="12.75">
      <c r="AB15" s="411"/>
      <c r="AC15" s="411"/>
      <c r="AD15" s="411"/>
      <c r="AE15" s="411"/>
      <c r="AI15" s="411"/>
      <c r="AJ15" s="411"/>
      <c r="AK15" s="411"/>
      <c r="AL15" s="411"/>
    </row>
    <row r="16" spans="1:38" ht="12.75">
      <c r="A16" s="412"/>
      <c r="B16" s="405" t="s">
        <v>618</v>
      </c>
      <c r="C16" s="1319" t="s">
        <v>2782</v>
      </c>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row>
    <row r="17" spans="1:2" ht="12.75">
      <c r="A17" s="405"/>
      <c r="B17" s="405"/>
    </row>
    <row r="18" spans="1:52" ht="12.75">
      <c r="A18" s="412"/>
      <c r="B18" s="405" t="s">
        <v>243</v>
      </c>
      <c r="C18" s="1319" t="s">
        <v>2386</v>
      </c>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O18" s="413"/>
      <c r="AP18" s="413"/>
      <c r="AQ18" s="413"/>
      <c r="AR18" s="413"/>
      <c r="AS18" s="413"/>
      <c r="AT18" s="413"/>
      <c r="AU18" s="413"/>
      <c r="AV18" s="413"/>
      <c r="AW18" s="413"/>
      <c r="AX18" s="413"/>
      <c r="AY18" s="413"/>
      <c r="AZ18" s="413"/>
    </row>
    <row r="19" spans="1:2" ht="12.75">
      <c r="A19" s="405"/>
      <c r="B19" s="405"/>
    </row>
    <row r="20" spans="1:38" ht="12.75">
      <c r="A20" s="412"/>
      <c r="B20" s="405" t="s">
        <v>245</v>
      </c>
      <c r="C20" s="1319" t="s">
        <v>2221</v>
      </c>
      <c r="D20" s="1319"/>
      <c r="E20" s="1319"/>
      <c r="F20" s="1319"/>
      <c r="G20" s="1319"/>
      <c r="H20" s="1319"/>
      <c r="I20" s="1319"/>
      <c r="J20" s="1319"/>
      <c r="K20" s="1319"/>
      <c r="L20" s="1319"/>
      <c r="M20" s="1319"/>
      <c r="N20" s="1319"/>
      <c r="O20" s="1319"/>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19"/>
      <c r="AK20" s="1319"/>
      <c r="AL20" s="1319"/>
    </row>
    <row r="21" spans="1:2" ht="12.75">
      <c r="A21" s="405"/>
      <c r="B21" s="405"/>
    </row>
    <row r="22" spans="1:38" ht="12.75">
      <c r="A22" s="412"/>
      <c r="B22" s="405" t="s">
        <v>247</v>
      </c>
      <c r="C22" s="1319" t="s">
        <v>1364</v>
      </c>
      <c r="D22" s="1319"/>
      <c r="E22" s="1319"/>
      <c r="F22" s="1319"/>
      <c r="G22" s="1319"/>
      <c r="H22" s="1319"/>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19"/>
      <c r="AL22" s="1319"/>
    </row>
    <row r="24" spans="1:38" ht="17.25">
      <c r="A24" s="1334" t="s">
        <v>1365</v>
      </c>
      <c r="B24" s="1334"/>
      <c r="C24" s="1334"/>
      <c r="D24" s="1334"/>
      <c r="E24" s="1334"/>
      <c r="F24" s="1334"/>
      <c r="G24" s="1334"/>
      <c r="H24" s="1334"/>
      <c r="I24" s="1334"/>
      <c r="J24" s="1334"/>
      <c r="K24" s="1334"/>
      <c r="L24" s="1334"/>
      <c r="M24" s="1334"/>
      <c r="N24" s="1334"/>
      <c r="O24" s="1334"/>
      <c r="P24" s="1334"/>
      <c r="Q24" s="1334"/>
      <c r="R24" s="1334"/>
      <c r="S24" s="1334"/>
      <c r="T24" s="1334"/>
      <c r="U24" s="1334"/>
      <c r="V24" s="1334"/>
      <c r="W24" s="1334"/>
      <c r="X24" s="1334"/>
      <c r="Y24" s="1334"/>
      <c r="Z24" s="1319" t="s">
        <v>2780</v>
      </c>
      <c r="AA24" s="1319"/>
      <c r="AB24" s="1321"/>
      <c r="AC24" s="1321"/>
      <c r="AD24" s="1321"/>
      <c r="AE24" s="1321"/>
      <c r="AF24" s="1319" t="s">
        <v>2781</v>
      </c>
      <c r="AG24" s="1319"/>
      <c r="AH24" s="1319"/>
      <c r="AI24" s="1321"/>
      <c r="AJ24" s="1321"/>
      <c r="AK24" s="1321"/>
      <c r="AL24" s="1321"/>
    </row>
    <row r="25" spans="28:38" s="410" customFormat="1" ht="12.75">
      <c r="AB25" s="411"/>
      <c r="AC25" s="411"/>
      <c r="AD25" s="411"/>
      <c r="AE25" s="411"/>
      <c r="AI25" s="411"/>
      <c r="AJ25" s="411"/>
      <c r="AK25" s="411"/>
      <c r="AL25" s="411"/>
    </row>
    <row r="26" spans="1:38" ht="12.75">
      <c r="A26" s="412"/>
      <c r="B26" s="405" t="s">
        <v>618</v>
      </c>
      <c r="C26" s="1318" t="s">
        <v>1366</v>
      </c>
      <c r="D26" s="1318"/>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1318"/>
      <c r="AE26" s="1318"/>
      <c r="AF26" s="1318"/>
      <c r="AG26" s="1318"/>
      <c r="AH26" s="1318"/>
      <c r="AI26" s="1318"/>
      <c r="AJ26" s="1318"/>
      <c r="AK26" s="1318"/>
      <c r="AL26" s="1318"/>
    </row>
    <row r="27" spans="1:38" ht="12.75">
      <c r="A27" s="405"/>
      <c r="B27" s="405"/>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c r="AE27" s="1318"/>
      <c r="AF27" s="1318"/>
      <c r="AG27" s="1318"/>
      <c r="AH27" s="1318"/>
      <c r="AI27" s="1318"/>
      <c r="AJ27" s="1318"/>
      <c r="AK27" s="1318"/>
      <c r="AL27" s="1318"/>
    </row>
    <row r="28" spans="1:38" ht="12.75">
      <c r="A28" s="405"/>
      <c r="B28" s="405"/>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row>
    <row r="29" spans="1:38" ht="12.75">
      <c r="A29" s="412"/>
      <c r="B29" s="405" t="s">
        <v>243</v>
      </c>
      <c r="C29" s="1318" t="s">
        <v>1367</v>
      </c>
      <c r="D29" s="1318"/>
      <c r="E29" s="1318"/>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18"/>
      <c r="AL29" s="1318"/>
    </row>
    <row r="30" spans="1:38" ht="12.75">
      <c r="A30" s="405"/>
      <c r="B30" s="405"/>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row>
    <row r="31" spans="1:38" ht="12.75">
      <c r="A31" s="412"/>
      <c r="B31" s="405" t="s">
        <v>245</v>
      </c>
      <c r="C31" s="1318" t="s">
        <v>1368</v>
      </c>
      <c r="D31" s="1318"/>
      <c r="E31" s="1318"/>
      <c r="F31" s="1318"/>
      <c r="G31" s="1318"/>
      <c r="H31" s="1318"/>
      <c r="I31" s="1318"/>
      <c r="J31" s="1318"/>
      <c r="K31" s="1318"/>
      <c r="L31" s="1318"/>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18"/>
      <c r="AL31" s="1318"/>
    </row>
    <row r="32" spans="1:38" ht="12.75">
      <c r="A32" s="405"/>
      <c r="B32" s="405"/>
      <c r="C32" s="406" t="s">
        <v>1369</v>
      </c>
      <c r="D32" s="1318" t="s">
        <v>1370</v>
      </c>
      <c r="E32" s="1318"/>
      <c r="F32" s="1318"/>
      <c r="G32" s="1318"/>
      <c r="H32" s="1318"/>
      <c r="I32" s="1318"/>
      <c r="J32" s="1318"/>
      <c r="K32" s="1318"/>
      <c r="L32" s="1318"/>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18"/>
      <c r="AL32" s="1318"/>
    </row>
    <row r="33" spans="1:38" ht="12.75">
      <c r="A33" s="405"/>
      <c r="B33" s="405"/>
      <c r="C33" s="406" t="s">
        <v>1371</v>
      </c>
      <c r="D33" s="1318" t="s">
        <v>1372</v>
      </c>
      <c r="E33" s="1318"/>
      <c r="F33" s="1318"/>
      <c r="G33" s="1318"/>
      <c r="H33" s="1318"/>
      <c r="I33" s="1318"/>
      <c r="J33" s="1318"/>
      <c r="K33" s="1318"/>
      <c r="L33" s="1318"/>
      <c r="M33" s="1318"/>
      <c r="N33" s="1318"/>
      <c r="O33" s="1318"/>
      <c r="P33" s="1318"/>
      <c r="Q33" s="1318"/>
      <c r="R33" s="1318"/>
      <c r="S33" s="1318"/>
      <c r="T33" s="1318"/>
      <c r="U33" s="1318"/>
      <c r="V33" s="1318"/>
      <c r="W33" s="1318"/>
      <c r="X33" s="1318"/>
      <c r="Y33" s="1318"/>
      <c r="Z33" s="1318"/>
      <c r="AA33" s="1318"/>
      <c r="AB33" s="1318"/>
      <c r="AC33" s="1318"/>
      <c r="AD33" s="1318"/>
      <c r="AE33" s="1318"/>
      <c r="AF33" s="1318"/>
      <c r="AG33" s="1318"/>
      <c r="AH33" s="1318"/>
      <c r="AI33" s="1318"/>
      <c r="AJ33" s="1318"/>
      <c r="AK33" s="1318"/>
      <c r="AL33" s="1318"/>
    </row>
    <row r="34" spans="1:38" ht="12.75">
      <c r="A34" s="405"/>
      <c r="B34" s="405"/>
      <c r="C34" s="406" t="s">
        <v>1373</v>
      </c>
      <c r="D34" s="1318" t="s">
        <v>1374</v>
      </c>
      <c r="E34" s="1318"/>
      <c r="F34" s="1318"/>
      <c r="G34" s="1318"/>
      <c r="H34" s="1318"/>
      <c r="I34" s="1318"/>
      <c r="J34" s="1318"/>
      <c r="K34" s="1318"/>
      <c r="L34" s="1318"/>
      <c r="M34" s="1318"/>
      <c r="N34" s="1318"/>
      <c r="O34" s="1318"/>
      <c r="P34" s="1318"/>
      <c r="Q34" s="1318"/>
      <c r="R34" s="1318"/>
      <c r="S34" s="1318"/>
      <c r="T34" s="1318"/>
      <c r="U34" s="1318"/>
      <c r="V34" s="1318"/>
      <c r="W34" s="1318"/>
      <c r="X34" s="1318"/>
      <c r="Y34" s="1318"/>
      <c r="Z34" s="1318"/>
      <c r="AA34" s="1318"/>
      <c r="AB34" s="1318"/>
      <c r="AC34" s="1318"/>
      <c r="AD34" s="1318"/>
      <c r="AE34" s="1318"/>
      <c r="AF34" s="1318"/>
      <c r="AG34" s="1318"/>
      <c r="AH34" s="1318"/>
      <c r="AI34" s="1318"/>
      <c r="AJ34" s="1318"/>
      <c r="AK34" s="1318"/>
      <c r="AL34" s="1318"/>
    </row>
    <row r="35" spans="1:38" ht="12.75">
      <c r="A35" s="405"/>
      <c r="B35" s="405"/>
      <c r="C35" s="406" t="s">
        <v>1375</v>
      </c>
      <c r="D35" s="1318" t="s">
        <v>1376</v>
      </c>
      <c r="E35" s="1318"/>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8"/>
      <c r="AH35" s="1318"/>
      <c r="AI35" s="1318"/>
      <c r="AJ35" s="1318"/>
      <c r="AK35" s="1318"/>
      <c r="AL35" s="1318"/>
    </row>
    <row r="36" spans="1:38" ht="12.75">
      <c r="A36" s="405"/>
      <c r="B36" s="405"/>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row>
    <row r="37" spans="1:38" ht="12.75">
      <c r="A37" s="412"/>
      <c r="B37" s="405" t="s">
        <v>247</v>
      </c>
      <c r="C37" s="1318" t="s">
        <v>1377</v>
      </c>
      <c r="D37" s="1318"/>
      <c r="E37" s="1318"/>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8"/>
      <c r="AH37" s="1318"/>
      <c r="AI37" s="1318"/>
      <c r="AJ37" s="1318"/>
      <c r="AK37" s="1318"/>
      <c r="AL37" s="1318"/>
    </row>
    <row r="38" spans="1:38" ht="12.75">
      <c r="A38" s="405"/>
      <c r="B38" s="405"/>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row>
    <row r="39" spans="1:38" ht="12.75">
      <c r="A39" s="412"/>
      <c r="B39" s="405" t="s">
        <v>250</v>
      </c>
      <c r="C39" s="1318" t="s">
        <v>1378</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8"/>
      <c r="AH39" s="1318"/>
      <c r="AI39" s="1318"/>
      <c r="AJ39" s="1318"/>
      <c r="AK39" s="1318"/>
      <c r="AL39" s="1318"/>
    </row>
    <row r="40" spans="1:38" ht="12.75">
      <c r="A40" s="405"/>
      <c r="B40" s="405"/>
      <c r="C40" s="1318"/>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1318"/>
      <c r="AE40" s="1318"/>
      <c r="AF40" s="1318"/>
      <c r="AG40" s="1318"/>
      <c r="AH40" s="1318"/>
      <c r="AI40" s="1318"/>
      <c r="AJ40" s="1318"/>
      <c r="AK40" s="1318"/>
      <c r="AL40" s="1318"/>
    </row>
    <row r="41" spans="1:38" ht="12.75">
      <c r="A41" s="405"/>
      <c r="B41" s="405"/>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row>
    <row r="42" spans="1:38" ht="12.75">
      <c r="A42" s="412"/>
      <c r="B42" s="405" t="s">
        <v>252</v>
      </c>
      <c r="C42" s="1318" t="s">
        <v>2387</v>
      </c>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B42" s="1318"/>
      <c r="AC42" s="1318"/>
      <c r="AD42" s="1318"/>
      <c r="AE42" s="1318"/>
      <c r="AF42" s="1318"/>
      <c r="AG42" s="1318"/>
      <c r="AH42" s="1318"/>
      <c r="AI42" s="1318"/>
      <c r="AJ42" s="1318"/>
      <c r="AK42" s="1318"/>
      <c r="AL42" s="1318"/>
    </row>
    <row r="43" spans="1:38" ht="12.75">
      <c r="A43" s="405"/>
      <c r="B43" s="405"/>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c r="AC43" s="1318"/>
      <c r="AD43" s="1318"/>
      <c r="AE43" s="1318"/>
      <c r="AF43" s="1318"/>
      <c r="AG43" s="1318"/>
      <c r="AH43" s="1318"/>
      <c r="AI43" s="1318"/>
      <c r="AJ43" s="1318"/>
      <c r="AK43" s="1318"/>
      <c r="AL43" s="1318"/>
    </row>
    <row r="44" spans="1:38" ht="12.75">
      <c r="A44" s="405"/>
      <c r="B44" s="405"/>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row>
    <row r="45" spans="1:38" ht="12.75">
      <c r="A45" s="412"/>
      <c r="B45" s="405" t="s">
        <v>254</v>
      </c>
      <c r="C45" s="1318" t="s">
        <v>3781</v>
      </c>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c r="AF45" s="1318"/>
      <c r="AG45" s="1318"/>
      <c r="AH45" s="1318"/>
      <c r="AI45" s="1318"/>
      <c r="AJ45" s="1318"/>
      <c r="AK45" s="1318"/>
      <c r="AL45" s="1318"/>
    </row>
    <row r="46" spans="1:38" ht="12.75">
      <c r="A46" s="405"/>
      <c r="B46" s="405"/>
      <c r="C46" s="1318"/>
      <c r="D46" s="1318"/>
      <c r="E46" s="1318"/>
      <c r="F46" s="1318"/>
      <c r="G46" s="1318"/>
      <c r="H46" s="1318"/>
      <c r="I46" s="1318"/>
      <c r="J46" s="1318"/>
      <c r="K46" s="1318"/>
      <c r="L46" s="1318"/>
      <c r="M46" s="1318"/>
      <c r="N46" s="1318"/>
      <c r="O46" s="1318"/>
      <c r="P46" s="1318"/>
      <c r="Q46" s="1318"/>
      <c r="R46" s="1318"/>
      <c r="S46" s="1318"/>
      <c r="T46" s="1318"/>
      <c r="U46" s="1318"/>
      <c r="V46" s="1318"/>
      <c r="W46" s="1318"/>
      <c r="X46" s="1318"/>
      <c r="Y46" s="1318"/>
      <c r="Z46" s="1318"/>
      <c r="AA46" s="1318"/>
      <c r="AB46" s="1318"/>
      <c r="AC46" s="1318"/>
      <c r="AD46" s="1318"/>
      <c r="AE46" s="1318"/>
      <c r="AF46" s="1318"/>
      <c r="AG46" s="1318"/>
      <c r="AH46" s="1318"/>
      <c r="AI46" s="1318"/>
      <c r="AJ46" s="1318"/>
      <c r="AK46" s="1318"/>
      <c r="AL46" s="1318"/>
    </row>
    <row r="47" spans="1:38" ht="12.75">
      <c r="A47" s="405"/>
      <c r="B47" s="405"/>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row>
    <row r="48" spans="1:38" ht="17.25">
      <c r="A48" s="1339" t="s">
        <v>617</v>
      </c>
      <c r="B48" s="1339"/>
      <c r="C48" s="1339"/>
      <c r="D48" s="1339"/>
      <c r="E48" s="1339"/>
      <c r="F48" s="1339"/>
      <c r="G48" s="1339"/>
      <c r="H48" s="1339"/>
      <c r="I48" s="1339"/>
      <c r="J48" s="1339"/>
      <c r="K48" s="1339"/>
      <c r="L48" s="1339"/>
      <c r="M48" s="1339"/>
      <c r="N48" s="1339"/>
      <c r="O48" s="1339"/>
      <c r="P48" s="1339"/>
      <c r="Q48" s="1339"/>
      <c r="R48" s="1339"/>
      <c r="S48" s="1339"/>
      <c r="T48" s="1339"/>
      <c r="U48" s="1339"/>
      <c r="V48" s="1339"/>
      <c r="W48" s="1339"/>
      <c r="X48" s="1339"/>
      <c r="Y48" s="1339"/>
      <c r="Z48" s="1339"/>
      <c r="AA48" s="1339"/>
      <c r="AB48" s="1339"/>
      <c r="AC48" s="1339"/>
      <c r="AD48" s="1339"/>
      <c r="AE48" s="1339"/>
      <c r="AF48" s="1339"/>
      <c r="AG48" s="1339"/>
      <c r="AH48" s="1339"/>
      <c r="AI48" s="1339"/>
      <c r="AJ48" s="1339"/>
      <c r="AK48" s="1339"/>
      <c r="AL48" s="1339"/>
    </row>
    <row r="49" spans="1:38" s="413" customFormat="1" ht="12.75">
      <c r="A49" s="414"/>
      <c r="B49" s="1338"/>
      <c r="C49" s="1338"/>
      <c r="D49" s="1338"/>
      <c r="E49" s="1338"/>
      <c r="F49" s="1338"/>
      <c r="G49" s="1338"/>
      <c r="H49" s="1338"/>
      <c r="I49" s="1338"/>
      <c r="J49" s="1338"/>
      <c r="K49" s="1338"/>
      <c r="L49" s="1338"/>
      <c r="M49" s="1338"/>
      <c r="N49" s="1338"/>
      <c r="O49" s="1338"/>
      <c r="P49" s="1338"/>
      <c r="Q49" s="1338"/>
      <c r="R49" s="1338"/>
      <c r="S49" s="1338"/>
      <c r="T49" s="1338"/>
      <c r="U49" s="1338"/>
      <c r="V49" s="1338"/>
      <c r="W49" s="1338"/>
      <c r="X49" s="1338"/>
      <c r="Y49" s="1338"/>
      <c r="Z49" s="1338"/>
      <c r="AA49" s="1338"/>
      <c r="AB49" s="1338"/>
      <c r="AC49" s="1338"/>
      <c r="AD49" s="415"/>
      <c r="AE49" s="1326"/>
      <c r="AF49" s="1326"/>
      <c r="AG49" s="415"/>
      <c r="AH49" s="1326"/>
      <c r="AI49" s="1326"/>
      <c r="AJ49" s="415"/>
      <c r="AK49" s="1326"/>
      <c r="AL49" s="1326"/>
    </row>
    <row r="50" spans="1:38" ht="12.75">
      <c r="A50" s="405" t="s">
        <v>618</v>
      </c>
      <c r="B50" s="1318" t="s">
        <v>1379</v>
      </c>
      <c r="C50" s="1318"/>
      <c r="D50" s="1318"/>
      <c r="E50" s="1318"/>
      <c r="F50" s="1318"/>
      <c r="G50" s="1318"/>
      <c r="H50" s="1318"/>
      <c r="I50" s="1318"/>
      <c r="J50" s="1318"/>
      <c r="K50" s="1318"/>
      <c r="L50" s="1318"/>
      <c r="M50" s="1318"/>
      <c r="N50" s="1318"/>
      <c r="O50" s="1318"/>
      <c r="P50" s="1318"/>
      <c r="Q50" s="1318"/>
      <c r="R50" s="1318"/>
      <c r="S50" s="1318"/>
      <c r="T50" s="1318"/>
      <c r="U50" s="1318"/>
      <c r="V50" s="1318"/>
      <c r="W50" s="1318"/>
      <c r="X50" s="1318"/>
      <c r="Y50" s="1318"/>
      <c r="Z50" s="1318"/>
      <c r="AA50" s="1318"/>
      <c r="AB50" s="1318"/>
      <c r="AC50" s="1327"/>
      <c r="AD50" s="416"/>
      <c r="AE50" s="1323" t="s">
        <v>621</v>
      </c>
      <c r="AF50" s="1322"/>
      <c r="AG50" s="416"/>
      <c r="AH50" s="1323" t="s">
        <v>622</v>
      </c>
      <c r="AI50" s="1324"/>
      <c r="AJ50" s="416"/>
      <c r="AK50" s="1323" t="s">
        <v>2666</v>
      </c>
      <c r="AL50" s="1319"/>
    </row>
    <row r="51" spans="1:38" s="413" customFormat="1" ht="12.75">
      <c r="A51" s="414"/>
      <c r="B51" s="1338"/>
      <c r="C51" s="1338"/>
      <c r="D51" s="1338"/>
      <c r="E51" s="1338"/>
      <c r="F51" s="1338"/>
      <c r="G51" s="1338"/>
      <c r="H51" s="1338"/>
      <c r="I51" s="1338"/>
      <c r="J51" s="1338"/>
      <c r="K51" s="1338"/>
      <c r="L51" s="1338"/>
      <c r="M51" s="1338"/>
      <c r="N51" s="1338"/>
      <c r="O51" s="1338"/>
      <c r="P51" s="1338"/>
      <c r="Q51" s="1338"/>
      <c r="R51" s="1338"/>
      <c r="S51" s="1338"/>
      <c r="T51" s="1338"/>
      <c r="U51" s="1338"/>
      <c r="V51" s="1338"/>
      <c r="W51" s="1338"/>
      <c r="X51" s="1338"/>
      <c r="Y51" s="1338"/>
      <c r="Z51" s="1338"/>
      <c r="AA51" s="1338"/>
      <c r="AB51" s="1338"/>
      <c r="AC51" s="1338"/>
      <c r="AD51" s="417"/>
      <c r="AE51" s="1326"/>
      <c r="AF51" s="1326"/>
      <c r="AG51" s="417"/>
      <c r="AH51" s="1326"/>
      <c r="AI51" s="1326"/>
      <c r="AJ51" s="417"/>
      <c r="AK51" s="1326"/>
      <c r="AL51" s="1326"/>
    </row>
    <row r="52" spans="1:38" ht="12.75">
      <c r="A52" s="405" t="s">
        <v>243</v>
      </c>
      <c r="B52" s="1318" t="s">
        <v>1380</v>
      </c>
      <c r="C52" s="1318"/>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27"/>
      <c r="AD52" s="416"/>
      <c r="AE52" s="1323" t="s">
        <v>621</v>
      </c>
      <c r="AF52" s="1322"/>
      <c r="AG52" s="416"/>
      <c r="AH52" s="1323" t="s">
        <v>622</v>
      </c>
      <c r="AI52" s="1324"/>
      <c r="AJ52" s="416"/>
      <c r="AK52" s="1323" t="s">
        <v>2666</v>
      </c>
      <c r="AL52" s="1319"/>
    </row>
    <row r="53" spans="1:38" s="413" customFormat="1" ht="12.75">
      <c r="A53" s="414"/>
      <c r="B53" s="1338"/>
      <c r="C53" s="1338"/>
      <c r="D53" s="1338"/>
      <c r="E53" s="1338"/>
      <c r="F53" s="1338"/>
      <c r="G53" s="1338"/>
      <c r="H53" s="1338"/>
      <c r="I53" s="1338"/>
      <c r="J53" s="1338"/>
      <c r="K53" s="1338"/>
      <c r="L53" s="1338"/>
      <c r="M53" s="1338"/>
      <c r="N53" s="1338"/>
      <c r="O53" s="1338"/>
      <c r="P53" s="1338"/>
      <c r="Q53" s="1338"/>
      <c r="R53" s="1338"/>
      <c r="S53" s="1338"/>
      <c r="T53" s="1338"/>
      <c r="U53" s="1338"/>
      <c r="V53" s="1338"/>
      <c r="W53" s="1338"/>
      <c r="X53" s="1338"/>
      <c r="Y53" s="1338"/>
      <c r="Z53" s="1338"/>
      <c r="AA53" s="1338"/>
      <c r="AB53" s="1338"/>
      <c r="AC53" s="1338"/>
      <c r="AD53" s="417"/>
      <c r="AE53" s="1326"/>
      <c r="AF53" s="1326"/>
      <c r="AG53" s="417"/>
      <c r="AH53" s="1326"/>
      <c r="AI53" s="1326"/>
      <c r="AJ53" s="417"/>
      <c r="AK53" s="1326"/>
      <c r="AL53" s="1326"/>
    </row>
    <row r="54" spans="1:38" ht="12.75">
      <c r="A54" s="405" t="s">
        <v>245</v>
      </c>
      <c r="B54" s="1318" t="s">
        <v>1381</v>
      </c>
      <c r="C54" s="1318"/>
      <c r="D54" s="1318"/>
      <c r="E54" s="1318"/>
      <c r="F54" s="1318"/>
      <c r="G54" s="1318"/>
      <c r="H54" s="1318"/>
      <c r="I54" s="1318"/>
      <c r="J54" s="1318"/>
      <c r="K54" s="1318"/>
      <c r="L54" s="1318"/>
      <c r="M54" s="1318"/>
      <c r="N54" s="1318"/>
      <c r="O54" s="1318"/>
      <c r="P54" s="1318"/>
      <c r="Q54" s="1318"/>
      <c r="R54" s="1318"/>
      <c r="S54" s="1318"/>
      <c r="T54" s="1318"/>
      <c r="U54" s="1318"/>
      <c r="V54" s="1318"/>
      <c r="W54" s="1318"/>
      <c r="X54" s="1318"/>
      <c r="Y54" s="1318"/>
      <c r="Z54" s="1318"/>
      <c r="AA54" s="1318"/>
      <c r="AB54" s="1318"/>
      <c r="AC54" s="1327"/>
      <c r="AD54" s="416"/>
      <c r="AE54" s="1323" t="s">
        <v>621</v>
      </c>
      <c r="AF54" s="1322"/>
      <c r="AG54" s="416"/>
      <c r="AH54" s="1323" t="s">
        <v>622</v>
      </c>
      <c r="AI54" s="1324"/>
      <c r="AJ54" s="416"/>
      <c r="AK54" s="1323" t="s">
        <v>2666</v>
      </c>
      <c r="AL54" s="1319"/>
    </row>
    <row r="55" spans="1:38" s="413" customFormat="1" ht="12.75">
      <c r="A55" s="414"/>
      <c r="B55" s="1338"/>
      <c r="C55" s="1338"/>
      <c r="D55" s="1338"/>
      <c r="E55" s="1338"/>
      <c r="F55" s="1338"/>
      <c r="G55" s="1338"/>
      <c r="H55" s="1338"/>
      <c r="I55" s="1338"/>
      <c r="J55" s="1338"/>
      <c r="K55" s="1338"/>
      <c r="L55" s="1338"/>
      <c r="M55" s="1338"/>
      <c r="N55" s="1338"/>
      <c r="O55" s="1338"/>
      <c r="P55" s="1338"/>
      <c r="Q55" s="1338"/>
      <c r="R55" s="1338"/>
      <c r="S55" s="1338"/>
      <c r="T55" s="1338"/>
      <c r="U55" s="1338"/>
      <c r="V55" s="1338"/>
      <c r="W55" s="1338"/>
      <c r="X55" s="1338"/>
      <c r="Y55" s="1338"/>
      <c r="Z55" s="1338"/>
      <c r="AA55" s="1338"/>
      <c r="AB55" s="1338"/>
      <c r="AC55" s="1338"/>
      <c r="AD55" s="417"/>
      <c r="AE55" s="1326"/>
      <c r="AF55" s="1326"/>
      <c r="AG55" s="417"/>
      <c r="AH55" s="1326"/>
      <c r="AI55" s="1326"/>
      <c r="AJ55" s="417"/>
      <c r="AK55" s="1326"/>
      <c r="AL55" s="1326"/>
    </row>
    <row r="56" spans="1:38" ht="12.75">
      <c r="A56" s="405" t="s">
        <v>247</v>
      </c>
      <c r="B56" s="1318" t="s">
        <v>1382</v>
      </c>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27"/>
      <c r="AD56" s="416"/>
      <c r="AE56" s="1323" t="s">
        <v>621</v>
      </c>
      <c r="AF56" s="1322"/>
      <c r="AG56" s="416"/>
      <c r="AH56" s="1323" t="s">
        <v>622</v>
      </c>
      <c r="AI56" s="1324"/>
      <c r="AJ56" s="416"/>
      <c r="AK56" s="1323" t="s">
        <v>2666</v>
      </c>
      <c r="AL56" s="1319"/>
    </row>
    <row r="57" spans="2:29" ht="12.75">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row>
    <row r="58" spans="1:38" ht="12.75">
      <c r="A58" s="405" t="s">
        <v>250</v>
      </c>
      <c r="B58" s="1318" t="s">
        <v>3961</v>
      </c>
      <c r="C58" s="1318"/>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27"/>
      <c r="AD58" s="416"/>
      <c r="AE58" s="1323" t="s">
        <v>621</v>
      </c>
      <c r="AF58" s="1322"/>
      <c r="AG58" s="416"/>
      <c r="AH58" s="1323" t="s">
        <v>622</v>
      </c>
      <c r="AI58" s="1324"/>
      <c r="AJ58" s="416"/>
      <c r="AK58" s="1323" t="s">
        <v>2666</v>
      </c>
      <c r="AL58" s="1319"/>
    </row>
    <row r="59" spans="2:29" ht="12.7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row>
    <row r="60" spans="1:38" ht="12.75">
      <c r="A60" s="405" t="s">
        <v>252</v>
      </c>
      <c r="B60" s="1318" t="s">
        <v>3962</v>
      </c>
      <c r="C60" s="1318"/>
      <c r="D60" s="1318"/>
      <c r="E60" s="1318"/>
      <c r="F60" s="1318"/>
      <c r="G60" s="1318"/>
      <c r="H60" s="1318"/>
      <c r="I60" s="1318"/>
      <c r="J60" s="1318"/>
      <c r="K60" s="1318"/>
      <c r="L60" s="1318"/>
      <c r="M60" s="1318"/>
      <c r="N60" s="1318"/>
      <c r="O60" s="1318"/>
      <c r="P60" s="1318"/>
      <c r="Q60" s="1318"/>
      <c r="R60" s="1318"/>
      <c r="S60" s="1318"/>
      <c r="T60" s="1318"/>
      <c r="U60" s="1318"/>
      <c r="V60" s="1318"/>
      <c r="W60" s="1318"/>
      <c r="X60" s="1318"/>
      <c r="Y60" s="1318"/>
      <c r="Z60" s="1318"/>
      <c r="AA60" s="1318"/>
      <c r="AB60" s="1318"/>
      <c r="AC60" s="1318"/>
      <c r="AD60" s="416"/>
      <c r="AE60" s="1323" t="s">
        <v>621</v>
      </c>
      <c r="AF60" s="1322"/>
      <c r="AG60" s="416"/>
      <c r="AH60" s="1323" t="s">
        <v>622</v>
      </c>
      <c r="AI60" s="1324"/>
      <c r="AJ60" s="416"/>
      <c r="AK60" s="1323" t="s">
        <v>2666</v>
      </c>
      <c r="AL60" s="1319"/>
    </row>
    <row r="61" spans="1:38" ht="12.75">
      <c r="A61" s="405"/>
      <c r="B61" s="1318"/>
      <c r="C61" s="1318"/>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418"/>
      <c r="AE61" s="413"/>
      <c r="AF61" s="413"/>
      <c r="AG61" s="418"/>
      <c r="AH61" s="413"/>
      <c r="AI61" s="413"/>
      <c r="AJ61" s="419"/>
      <c r="AK61" s="413"/>
      <c r="AL61" s="413"/>
    </row>
    <row r="62" spans="1:33" s="408" customFormat="1" ht="12.75">
      <c r="A62" s="409"/>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1"/>
      <c r="AG62" s="421"/>
    </row>
    <row r="63" spans="1:38" ht="12.75">
      <c r="A63" s="405" t="s">
        <v>254</v>
      </c>
      <c r="B63" s="1318" t="s">
        <v>3963</v>
      </c>
      <c r="C63" s="1318"/>
      <c r="D63" s="1318"/>
      <c r="E63" s="1318"/>
      <c r="F63" s="1318"/>
      <c r="G63" s="1318"/>
      <c r="H63" s="1318"/>
      <c r="I63" s="1318"/>
      <c r="J63" s="1318"/>
      <c r="K63" s="1318"/>
      <c r="L63" s="1318"/>
      <c r="M63" s="1318"/>
      <c r="N63" s="1318"/>
      <c r="O63" s="1318"/>
      <c r="P63" s="1318"/>
      <c r="Q63" s="1318"/>
      <c r="R63" s="1318"/>
      <c r="S63" s="1318"/>
      <c r="T63" s="1318"/>
      <c r="U63" s="1318"/>
      <c r="V63" s="1318"/>
      <c r="W63" s="1318"/>
      <c r="X63" s="1318"/>
      <c r="Y63" s="1318"/>
      <c r="Z63" s="1318"/>
      <c r="AA63" s="1318"/>
      <c r="AB63" s="1318"/>
      <c r="AC63" s="1318"/>
      <c r="AD63" s="416"/>
      <c r="AE63" s="1323" t="s">
        <v>621</v>
      </c>
      <c r="AF63" s="1322"/>
      <c r="AG63" s="416"/>
      <c r="AH63" s="1323" t="s">
        <v>622</v>
      </c>
      <c r="AI63" s="1324"/>
      <c r="AJ63" s="416"/>
      <c r="AK63" s="1323" t="s">
        <v>2666</v>
      </c>
      <c r="AL63" s="1319"/>
    </row>
    <row r="64" spans="1:38" s="408" customFormat="1" ht="12.75">
      <c r="A64" s="409"/>
      <c r="B64" s="1318"/>
      <c r="C64" s="1318"/>
      <c r="D64" s="1318"/>
      <c r="E64" s="1318"/>
      <c r="F64" s="1318"/>
      <c r="G64" s="1318"/>
      <c r="H64" s="1318"/>
      <c r="I64" s="1318"/>
      <c r="J64" s="1318"/>
      <c r="K64" s="1318"/>
      <c r="L64" s="1318"/>
      <c r="M64" s="1318"/>
      <c r="N64" s="1318"/>
      <c r="O64" s="1318"/>
      <c r="P64" s="1318"/>
      <c r="Q64" s="1318"/>
      <c r="R64" s="1318"/>
      <c r="S64" s="1318"/>
      <c r="T64" s="1318"/>
      <c r="U64" s="1318"/>
      <c r="V64" s="1318"/>
      <c r="W64" s="1318"/>
      <c r="X64" s="1318"/>
      <c r="Y64" s="1318"/>
      <c r="Z64" s="1318"/>
      <c r="AA64" s="1318"/>
      <c r="AB64" s="1318"/>
      <c r="AC64" s="1318"/>
      <c r="AD64" s="418"/>
      <c r="AE64" s="413"/>
      <c r="AF64" s="413"/>
      <c r="AG64" s="418"/>
      <c r="AH64" s="413"/>
      <c r="AI64" s="413"/>
      <c r="AJ64" s="418"/>
      <c r="AK64" s="413"/>
      <c r="AL64" s="413"/>
    </row>
    <row r="65" spans="1:36" s="408" customFormat="1" ht="12.75">
      <c r="A65" s="409"/>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21"/>
      <c r="AG65" s="421"/>
      <c r="AJ65" s="421"/>
    </row>
    <row r="66" spans="1:38" ht="12.75">
      <c r="A66" s="405" t="s">
        <v>256</v>
      </c>
      <c r="B66" s="1318" t="s">
        <v>3964</v>
      </c>
      <c r="C66" s="1318"/>
      <c r="D66" s="1318"/>
      <c r="E66" s="1318"/>
      <c r="F66" s="1318"/>
      <c r="G66" s="1318"/>
      <c r="H66" s="1318"/>
      <c r="I66" s="1318"/>
      <c r="J66" s="1318"/>
      <c r="K66" s="1318"/>
      <c r="L66" s="1318"/>
      <c r="M66" s="1318"/>
      <c r="N66" s="1318"/>
      <c r="O66" s="1318"/>
      <c r="P66" s="1318"/>
      <c r="Q66" s="1318"/>
      <c r="R66" s="1318"/>
      <c r="S66" s="1318"/>
      <c r="T66" s="1318"/>
      <c r="U66" s="1318"/>
      <c r="V66" s="1318"/>
      <c r="W66" s="1318"/>
      <c r="X66" s="1318"/>
      <c r="Y66" s="1318"/>
      <c r="Z66" s="1318"/>
      <c r="AA66" s="1318"/>
      <c r="AB66" s="1318"/>
      <c r="AC66" s="1327"/>
      <c r="AD66" s="416"/>
      <c r="AE66" s="1323" t="s">
        <v>621</v>
      </c>
      <c r="AF66" s="1322"/>
      <c r="AG66" s="416"/>
      <c r="AH66" s="1323" t="s">
        <v>622</v>
      </c>
      <c r="AI66" s="1324"/>
      <c r="AJ66" s="416"/>
      <c r="AK66" s="1323" t="s">
        <v>2666</v>
      </c>
      <c r="AL66" s="1319"/>
    </row>
    <row r="67" spans="1:36" s="408" customFormat="1" ht="12.75">
      <c r="A67" s="409"/>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22"/>
      <c r="AG67" s="422"/>
      <c r="AJ67" s="423"/>
    </row>
    <row r="68" spans="1:38" s="408" customFormat="1" ht="12.75">
      <c r="A68" s="409" t="s">
        <v>258</v>
      </c>
      <c r="B68" s="1318" t="s">
        <v>3965</v>
      </c>
      <c r="C68" s="1318"/>
      <c r="D68" s="1318"/>
      <c r="E68" s="1318"/>
      <c r="F68" s="1318"/>
      <c r="G68" s="1318"/>
      <c r="H68" s="1318"/>
      <c r="I68" s="1318"/>
      <c r="J68" s="1318"/>
      <c r="K68" s="1318"/>
      <c r="L68" s="1318"/>
      <c r="M68" s="1318"/>
      <c r="N68" s="1318"/>
      <c r="O68" s="1318"/>
      <c r="P68" s="1318"/>
      <c r="Q68" s="1318"/>
      <c r="R68" s="1318"/>
      <c r="S68" s="1318"/>
      <c r="T68" s="1318"/>
      <c r="U68" s="1318"/>
      <c r="V68" s="1318"/>
      <c r="W68" s="1318"/>
      <c r="X68" s="1318"/>
      <c r="Y68" s="1318"/>
      <c r="Z68" s="1318"/>
      <c r="AA68" s="1318"/>
      <c r="AB68" s="1318"/>
      <c r="AC68" s="1327"/>
      <c r="AD68" s="416"/>
      <c r="AE68" s="1323" t="s">
        <v>621</v>
      </c>
      <c r="AF68" s="1322"/>
      <c r="AG68" s="416"/>
      <c r="AH68" s="1323" t="s">
        <v>622</v>
      </c>
      <c r="AI68" s="1324"/>
      <c r="AJ68" s="416"/>
      <c r="AK68" s="1323" t="s">
        <v>2666</v>
      </c>
      <c r="AL68" s="1319"/>
    </row>
    <row r="69" spans="2:29" ht="12.75">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row>
    <row r="70" spans="1:38" ht="12.75">
      <c r="A70" s="405" t="s">
        <v>3131</v>
      </c>
      <c r="B70" s="1318" t="s">
        <v>3966</v>
      </c>
      <c r="C70" s="1318"/>
      <c r="D70" s="1318"/>
      <c r="E70" s="1318"/>
      <c r="F70" s="1318"/>
      <c r="G70" s="1318"/>
      <c r="H70" s="1318"/>
      <c r="I70" s="1318"/>
      <c r="J70" s="1318"/>
      <c r="K70" s="1318"/>
      <c r="L70" s="1318"/>
      <c r="M70" s="1318"/>
      <c r="N70" s="1318"/>
      <c r="O70" s="1318"/>
      <c r="P70" s="1318"/>
      <c r="Q70" s="1318"/>
      <c r="R70" s="1318"/>
      <c r="S70" s="1318"/>
      <c r="T70" s="1318"/>
      <c r="U70" s="1318"/>
      <c r="V70" s="1318"/>
      <c r="W70" s="1318"/>
      <c r="X70" s="1318"/>
      <c r="Y70" s="1318"/>
      <c r="Z70" s="1318"/>
      <c r="AA70" s="1318"/>
      <c r="AB70" s="1318"/>
      <c r="AC70" s="1327"/>
      <c r="AD70" s="416"/>
      <c r="AE70" s="1323" t="s">
        <v>621</v>
      </c>
      <c r="AF70" s="1322"/>
      <c r="AG70" s="416"/>
      <c r="AH70" s="1323" t="s">
        <v>622</v>
      </c>
      <c r="AI70" s="1324"/>
      <c r="AJ70" s="416"/>
      <c r="AK70" s="1323" t="s">
        <v>2666</v>
      </c>
      <c r="AL70" s="1319"/>
    </row>
    <row r="71" spans="1:39" ht="12.75">
      <c r="A71" s="405"/>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7"/>
      <c r="AD71" s="419"/>
      <c r="AE71" s="413"/>
      <c r="AF71" s="413"/>
      <c r="AG71" s="419"/>
      <c r="AH71" s="413"/>
      <c r="AI71" s="413"/>
      <c r="AJ71" s="419"/>
      <c r="AK71" s="413"/>
      <c r="AL71" s="424"/>
      <c r="AM71" s="424"/>
    </row>
    <row r="72" spans="1:38" ht="12.75">
      <c r="A72" s="405" t="s">
        <v>1017</v>
      </c>
      <c r="B72" s="1318" t="s">
        <v>3967</v>
      </c>
      <c r="C72" s="1318"/>
      <c r="D72" s="1318"/>
      <c r="E72" s="1318"/>
      <c r="F72" s="1318"/>
      <c r="G72" s="1318"/>
      <c r="H72" s="1318"/>
      <c r="I72" s="1318"/>
      <c r="J72" s="1318"/>
      <c r="K72" s="1318"/>
      <c r="L72" s="1318"/>
      <c r="M72" s="1318"/>
      <c r="N72" s="1318"/>
      <c r="O72" s="1318"/>
      <c r="P72" s="1318"/>
      <c r="Q72" s="1318"/>
      <c r="R72" s="1318"/>
      <c r="S72" s="1318"/>
      <c r="T72" s="1318"/>
      <c r="U72" s="1318"/>
      <c r="V72" s="1318"/>
      <c r="W72" s="1318"/>
      <c r="X72" s="1318"/>
      <c r="Y72" s="1318"/>
      <c r="Z72" s="1318"/>
      <c r="AA72" s="1318"/>
      <c r="AB72" s="1318"/>
      <c r="AC72" s="1318"/>
      <c r="AD72" s="416"/>
      <c r="AE72" s="1323" t="s">
        <v>621</v>
      </c>
      <c r="AF72" s="1322"/>
      <c r="AG72" s="416"/>
      <c r="AH72" s="1323" t="s">
        <v>622</v>
      </c>
      <c r="AI72" s="1324"/>
      <c r="AJ72" s="416"/>
      <c r="AK72" s="1323" t="s">
        <v>2666</v>
      </c>
      <c r="AL72" s="1319"/>
    </row>
    <row r="73" spans="1:38" ht="12.75">
      <c r="A73" s="405"/>
      <c r="B73" s="1318"/>
      <c r="C73" s="1318"/>
      <c r="D73" s="1318"/>
      <c r="E73" s="1318"/>
      <c r="F73" s="1318"/>
      <c r="G73" s="1318"/>
      <c r="H73" s="1318"/>
      <c r="I73" s="1318"/>
      <c r="J73" s="1318"/>
      <c r="K73" s="1318"/>
      <c r="L73" s="1318"/>
      <c r="M73" s="1318"/>
      <c r="N73" s="1318"/>
      <c r="O73" s="1318"/>
      <c r="P73" s="1318"/>
      <c r="Q73" s="1318"/>
      <c r="R73" s="1318"/>
      <c r="S73" s="1318"/>
      <c r="T73" s="1318"/>
      <c r="U73" s="1318"/>
      <c r="V73" s="1318"/>
      <c r="W73" s="1318"/>
      <c r="X73" s="1318"/>
      <c r="Y73" s="1318"/>
      <c r="Z73" s="1318"/>
      <c r="AA73" s="1318"/>
      <c r="AB73" s="1318"/>
      <c r="AC73" s="1318"/>
      <c r="AD73" s="418"/>
      <c r="AE73" s="413"/>
      <c r="AF73" s="413"/>
      <c r="AG73" s="418"/>
      <c r="AH73" s="413"/>
      <c r="AI73" s="413"/>
      <c r="AJ73" s="419"/>
      <c r="AK73" s="413"/>
      <c r="AL73" s="413"/>
    </row>
    <row r="74" spans="1:38" ht="12.75">
      <c r="A74" s="409"/>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23"/>
      <c r="AE74" s="408"/>
      <c r="AF74" s="408"/>
      <c r="AG74" s="423"/>
      <c r="AH74" s="408"/>
      <c r="AI74" s="408"/>
      <c r="AJ74" s="423"/>
      <c r="AK74" s="408"/>
      <c r="AL74" s="408"/>
    </row>
    <row r="75" spans="1:38" ht="12.75">
      <c r="A75" s="409" t="s">
        <v>1020</v>
      </c>
      <c r="B75" s="1318" t="s">
        <v>433</v>
      </c>
      <c r="C75" s="1318"/>
      <c r="D75" s="1318"/>
      <c r="E75" s="1318"/>
      <c r="F75" s="1318"/>
      <c r="G75" s="1318"/>
      <c r="H75" s="1318"/>
      <c r="I75" s="1318"/>
      <c r="J75" s="1318"/>
      <c r="K75" s="1318"/>
      <c r="L75" s="1318"/>
      <c r="M75" s="1318"/>
      <c r="N75" s="1318"/>
      <c r="O75" s="1318"/>
      <c r="P75" s="1318"/>
      <c r="Q75" s="1318"/>
      <c r="R75" s="1318"/>
      <c r="S75" s="1318"/>
      <c r="T75" s="1318"/>
      <c r="U75" s="1318"/>
      <c r="V75" s="1318"/>
      <c r="W75" s="1318"/>
      <c r="X75" s="1318"/>
      <c r="Y75" s="1318"/>
      <c r="Z75" s="1318"/>
      <c r="AA75" s="1318"/>
      <c r="AB75" s="1318"/>
      <c r="AC75" s="1318"/>
      <c r="AD75" s="416"/>
      <c r="AE75" s="1323" t="s">
        <v>621</v>
      </c>
      <c r="AF75" s="1322"/>
      <c r="AG75" s="416"/>
      <c r="AH75" s="1323" t="s">
        <v>622</v>
      </c>
      <c r="AI75" s="1324"/>
      <c r="AJ75" s="416"/>
      <c r="AK75" s="1323" t="s">
        <v>2666</v>
      </c>
      <c r="AL75" s="1319"/>
    </row>
    <row r="76" spans="1:38" ht="12.75">
      <c r="A76" s="409"/>
      <c r="B76" s="1318"/>
      <c r="C76" s="1318"/>
      <c r="D76" s="1318"/>
      <c r="E76" s="1318"/>
      <c r="F76" s="1318"/>
      <c r="G76" s="1318"/>
      <c r="H76" s="1318"/>
      <c r="I76" s="1318"/>
      <c r="J76" s="1318"/>
      <c r="K76" s="1318"/>
      <c r="L76" s="1318"/>
      <c r="M76" s="1318"/>
      <c r="N76" s="1318"/>
      <c r="O76" s="1318"/>
      <c r="P76" s="1318"/>
      <c r="Q76" s="1318"/>
      <c r="R76" s="1318"/>
      <c r="S76" s="1318"/>
      <c r="T76" s="1318"/>
      <c r="U76" s="1318"/>
      <c r="V76" s="1318"/>
      <c r="W76" s="1318"/>
      <c r="X76" s="1318"/>
      <c r="Y76" s="1318"/>
      <c r="Z76" s="1318"/>
      <c r="AA76" s="1318"/>
      <c r="AB76" s="1318"/>
      <c r="AC76" s="1318"/>
      <c r="AD76" s="419"/>
      <c r="AE76" s="413"/>
      <c r="AF76" s="413"/>
      <c r="AG76" s="419"/>
      <c r="AH76" s="413"/>
      <c r="AI76" s="413"/>
      <c r="AJ76" s="419"/>
      <c r="AK76" s="413"/>
      <c r="AL76" s="424"/>
    </row>
    <row r="77" spans="2:29" ht="12.75">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row>
    <row r="78" spans="1:38" ht="17.25">
      <c r="A78" s="1325" t="s">
        <v>3968</v>
      </c>
      <c r="B78" s="1325"/>
      <c r="C78" s="1325"/>
      <c r="D78" s="1325"/>
      <c r="E78" s="1325"/>
      <c r="F78" s="1325"/>
      <c r="G78" s="1325"/>
      <c r="H78" s="1325"/>
      <c r="I78" s="1325"/>
      <c r="J78" s="1325"/>
      <c r="K78" s="1325"/>
      <c r="L78" s="1325"/>
      <c r="M78" s="1325"/>
      <c r="N78" s="1325"/>
      <c r="O78" s="1325"/>
      <c r="P78" s="1325"/>
      <c r="Q78" s="1325"/>
      <c r="R78" s="1325"/>
      <c r="S78" s="1325"/>
      <c r="T78" s="1325"/>
      <c r="U78" s="1325"/>
      <c r="V78" s="1325"/>
      <c r="W78" s="1325"/>
      <c r="X78" s="1325"/>
      <c r="Y78" s="1325"/>
      <c r="Z78" s="1325"/>
      <c r="AA78" s="1325"/>
      <c r="AB78" s="1325"/>
      <c r="AC78" s="1325"/>
      <c r="AD78" s="1325"/>
      <c r="AE78" s="1325"/>
      <c r="AF78" s="1325"/>
      <c r="AG78" s="1325"/>
      <c r="AH78" s="1325"/>
      <c r="AI78" s="1325"/>
      <c r="AJ78" s="1325"/>
      <c r="AK78" s="1325"/>
      <c r="AL78" s="1325"/>
    </row>
    <row r="79" spans="1:38" ht="12.75">
      <c r="A79" s="425"/>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row>
    <row r="80" spans="1:38" ht="12.75">
      <c r="A80" s="405" t="s">
        <v>618</v>
      </c>
      <c r="B80" s="1319" t="s">
        <v>3969</v>
      </c>
      <c r="C80" s="1319"/>
      <c r="D80" s="1319"/>
      <c r="E80" s="1319"/>
      <c r="F80" s="1319"/>
      <c r="G80" s="1319"/>
      <c r="H80" s="1319"/>
      <c r="I80" s="1319"/>
      <c r="J80" s="1319"/>
      <c r="K80" s="1319"/>
      <c r="L80" s="1319"/>
      <c r="M80" s="1319"/>
      <c r="N80" s="1319"/>
      <c r="O80" s="1319"/>
      <c r="P80" s="1319"/>
      <c r="Q80" s="1319"/>
      <c r="R80" s="1319"/>
      <c r="S80" s="1319"/>
      <c r="T80" s="1319"/>
      <c r="U80" s="1319"/>
      <c r="V80" s="1319"/>
      <c r="W80" s="1319"/>
      <c r="X80" s="1319"/>
      <c r="Y80" s="1319"/>
      <c r="Z80" s="1319"/>
      <c r="AA80" s="1319"/>
      <c r="AB80" s="1319"/>
      <c r="AC80" s="1322"/>
      <c r="AD80" s="416"/>
      <c r="AE80" s="1323" t="s">
        <v>621</v>
      </c>
      <c r="AF80" s="1322"/>
      <c r="AG80" s="416"/>
      <c r="AH80" s="1323" t="s">
        <v>622</v>
      </c>
      <c r="AI80" s="1324"/>
      <c r="AJ80" s="416"/>
      <c r="AK80" s="1323" t="s">
        <v>2666</v>
      </c>
      <c r="AL80" s="1319"/>
    </row>
    <row r="82" spans="1:38" ht="12.75">
      <c r="A82" s="405" t="s">
        <v>243</v>
      </c>
      <c r="B82" s="1319" t="s">
        <v>1553</v>
      </c>
      <c r="C82" s="1319"/>
      <c r="D82" s="1319"/>
      <c r="E82" s="1319"/>
      <c r="F82" s="1319"/>
      <c r="G82" s="1319"/>
      <c r="H82" s="1319"/>
      <c r="I82" s="1319"/>
      <c r="J82" s="1319"/>
      <c r="K82" s="1319"/>
      <c r="L82" s="1319"/>
      <c r="M82" s="1319"/>
      <c r="N82" s="1319"/>
      <c r="O82" s="1319"/>
      <c r="P82" s="1319"/>
      <c r="Q82" s="1319"/>
      <c r="R82" s="1319"/>
      <c r="S82" s="1319"/>
      <c r="T82" s="1319"/>
      <c r="U82" s="1319"/>
      <c r="V82" s="1319"/>
      <c r="W82" s="1319"/>
      <c r="X82" s="1319"/>
      <c r="Y82" s="1319"/>
      <c r="Z82" s="1319"/>
      <c r="AA82" s="1319"/>
      <c r="AB82" s="1319"/>
      <c r="AC82" s="1322"/>
      <c r="AD82" s="416"/>
      <c r="AE82" s="1323" t="s">
        <v>621</v>
      </c>
      <c r="AF82" s="1322"/>
      <c r="AG82" s="416"/>
      <c r="AH82" s="1323" t="s">
        <v>622</v>
      </c>
      <c r="AI82" s="1324"/>
      <c r="AJ82" s="416"/>
      <c r="AK82" s="1323" t="s">
        <v>2666</v>
      </c>
      <c r="AL82" s="1319"/>
    </row>
    <row r="84" spans="1:38" ht="12.75">
      <c r="A84" s="405" t="s">
        <v>245</v>
      </c>
      <c r="B84" s="1319" t="s">
        <v>1554</v>
      </c>
      <c r="C84" s="1319"/>
      <c r="D84" s="1319"/>
      <c r="E84" s="1319"/>
      <c r="F84" s="1319"/>
      <c r="G84" s="1319"/>
      <c r="H84" s="1319"/>
      <c r="I84" s="1319"/>
      <c r="J84" s="1319"/>
      <c r="K84" s="1319"/>
      <c r="L84" s="1319"/>
      <c r="M84" s="1319"/>
      <c r="N84" s="1319"/>
      <c r="O84" s="1319"/>
      <c r="P84" s="1319"/>
      <c r="Q84" s="1319"/>
      <c r="R84" s="1319"/>
      <c r="S84" s="1319"/>
      <c r="T84" s="1319"/>
      <c r="U84" s="1319"/>
      <c r="V84" s="1319"/>
      <c r="W84" s="1319"/>
      <c r="X84" s="1319"/>
      <c r="Y84" s="1319"/>
      <c r="Z84" s="1319"/>
      <c r="AA84" s="1319"/>
      <c r="AB84" s="1319"/>
      <c r="AC84" s="1322"/>
      <c r="AD84" s="416"/>
      <c r="AE84" s="1323" t="s">
        <v>621</v>
      </c>
      <c r="AF84" s="1322"/>
      <c r="AG84" s="416"/>
      <c r="AH84" s="1323" t="s">
        <v>622</v>
      </c>
      <c r="AI84" s="1324"/>
      <c r="AJ84" s="416"/>
      <c r="AK84" s="1323" t="s">
        <v>2666</v>
      </c>
      <c r="AL84" s="1319"/>
    </row>
    <row r="85" spans="1:37" s="424" customFormat="1" ht="12.75">
      <c r="A85" s="426"/>
      <c r="AC85" s="413"/>
      <c r="AD85" s="419"/>
      <c r="AE85" s="413"/>
      <c r="AF85" s="413"/>
      <c r="AG85" s="419"/>
      <c r="AH85" s="413"/>
      <c r="AI85" s="413"/>
      <c r="AJ85" s="419"/>
      <c r="AK85" s="413"/>
    </row>
    <row r="86" spans="1:38" ht="17.25">
      <c r="A86" s="1325" t="s">
        <v>1555</v>
      </c>
      <c r="B86" s="1325"/>
      <c r="C86" s="1325"/>
      <c r="D86" s="1325"/>
      <c r="E86" s="1325"/>
      <c r="F86" s="1325"/>
      <c r="G86" s="1325"/>
      <c r="H86" s="1325"/>
      <c r="I86" s="1325"/>
      <c r="J86" s="1325"/>
      <c r="K86" s="1325"/>
      <c r="L86" s="1325"/>
      <c r="M86" s="1325"/>
      <c r="N86" s="1325"/>
      <c r="O86" s="1325"/>
      <c r="P86" s="1325"/>
      <c r="Q86" s="1325"/>
      <c r="R86" s="1325"/>
      <c r="S86" s="1325"/>
      <c r="T86" s="1325"/>
      <c r="U86" s="1325"/>
      <c r="V86" s="1325"/>
      <c r="W86" s="1325"/>
      <c r="X86" s="1325"/>
      <c r="Y86" s="1325"/>
      <c r="Z86" s="1325"/>
      <c r="AA86" s="1325"/>
      <c r="AB86" s="1325"/>
      <c r="AC86" s="1325"/>
      <c r="AD86" s="1325"/>
      <c r="AE86" s="1325"/>
      <c r="AF86" s="1325"/>
      <c r="AG86" s="1325"/>
      <c r="AH86" s="1325"/>
      <c r="AI86" s="1325"/>
      <c r="AJ86" s="1325"/>
      <c r="AK86" s="1325"/>
      <c r="AL86" s="1325"/>
    </row>
    <row r="87" spans="1:38" ht="12.75">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row>
    <row r="88" spans="1:38" ht="12.75">
      <c r="A88" s="405" t="s">
        <v>618</v>
      </c>
      <c r="B88" s="1319" t="s">
        <v>1556</v>
      </c>
      <c r="C88" s="1319"/>
      <c r="D88" s="1319"/>
      <c r="E88" s="1319"/>
      <c r="F88" s="1319"/>
      <c r="G88" s="1319"/>
      <c r="H88" s="1319"/>
      <c r="I88" s="1319"/>
      <c r="J88" s="1319"/>
      <c r="K88" s="1319"/>
      <c r="L88" s="1319"/>
      <c r="M88" s="1319"/>
      <c r="N88" s="1319"/>
      <c r="O88" s="1319"/>
      <c r="P88" s="1319"/>
      <c r="Q88" s="1319"/>
      <c r="R88" s="1319"/>
      <c r="S88" s="1319"/>
      <c r="T88" s="1319"/>
      <c r="U88" s="1319"/>
      <c r="V88" s="1319"/>
      <c r="W88" s="1319"/>
      <c r="X88" s="1319"/>
      <c r="Y88" s="1319"/>
      <c r="Z88" s="1319"/>
      <c r="AA88" s="1319"/>
      <c r="AB88" s="1319"/>
      <c r="AC88" s="1322"/>
      <c r="AD88" s="416"/>
      <c r="AE88" s="1323" t="s">
        <v>621</v>
      </c>
      <c r="AF88" s="1322"/>
      <c r="AG88" s="416"/>
      <c r="AH88" s="1323" t="s">
        <v>622</v>
      </c>
      <c r="AI88" s="1324"/>
      <c r="AJ88" s="416"/>
      <c r="AK88" s="1323" t="s">
        <v>2666</v>
      </c>
      <c r="AL88" s="1319"/>
    </row>
    <row r="89" spans="2:29" ht="12.75">
      <c r="B89" s="1335" t="s">
        <v>1557</v>
      </c>
      <c r="C89" s="1335"/>
      <c r="D89" s="1335"/>
      <c r="E89" s="1335"/>
      <c r="F89" s="1335"/>
      <c r="G89" s="1335"/>
      <c r="H89" s="1335"/>
      <c r="I89" s="1335"/>
      <c r="J89" s="1335"/>
      <c r="K89" s="1335"/>
      <c r="L89" s="1335"/>
      <c r="M89" s="1335"/>
      <c r="N89" s="1335"/>
      <c r="O89" s="1335"/>
      <c r="P89" s="1335"/>
      <c r="Q89" s="1335"/>
      <c r="R89" s="1335"/>
      <c r="S89" s="1335"/>
      <c r="T89" s="1335"/>
      <c r="U89" s="1335"/>
      <c r="V89" s="1335"/>
      <c r="W89" s="1335"/>
      <c r="X89" s="1335"/>
      <c r="Y89" s="1335"/>
      <c r="Z89" s="1335"/>
      <c r="AA89" s="1335"/>
      <c r="AB89" s="1335"/>
      <c r="AC89" s="1340"/>
    </row>
    <row r="90" spans="2:29" ht="12.75">
      <c r="B90" s="1335"/>
      <c r="C90" s="1335"/>
      <c r="D90" s="1335"/>
      <c r="E90" s="1335"/>
      <c r="F90" s="1335"/>
      <c r="G90" s="1335"/>
      <c r="H90" s="1335"/>
      <c r="I90" s="1335"/>
      <c r="J90" s="1335"/>
      <c r="K90" s="1335"/>
      <c r="L90" s="1335"/>
      <c r="M90" s="1335"/>
      <c r="N90" s="1335"/>
      <c r="O90" s="1335"/>
      <c r="P90" s="1335"/>
      <c r="Q90" s="1335"/>
      <c r="R90" s="1335"/>
      <c r="S90" s="1335"/>
      <c r="T90" s="1335"/>
      <c r="U90" s="1335"/>
      <c r="V90" s="1335"/>
      <c r="W90" s="1335"/>
      <c r="X90" s="1335"/>
      <c r="Y90" s="1335"/>
      <c r="Z90" s="1335"/>
      <c r="AA90" s="1335"/>
      <c r="AB90" s="1335"/>
      <c r="AC90" s="1335"/>
    </row>
    <row r="91" spans="2:29" ht="12.75">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row>
    <row r="92" spans="1:38" ht="12.75">
      <c r="A92" s="405" t="s">
        <v>243</v>
      </c>
      <c r="B92" s="1319" t="s">
        <v>1558</v>
      </c>
      <c r="C92" s="1319"/>
      <c r="D92" s="1319"/>
      <c r="E92" s="1319"/>
      <c r="F92" s="1319"/>
      <c r="G92" s="1319"/>
      <c r="H92" s="1319"/>
      <c r="I92" s="1319"/>
      <c r="J92" s="1319"/>
      <c r="K92" s="1319"/>
      <c r="L92" s="1319"/>
      <c r="M92" s="1319"/>
      <c r="N92" s="1319"/>
      <c r="O92" s="1319"/>
      <c r="P92" s="1319"/>
      <c r="Q92" s="1319"/>
      <c r="R92" s="1319"/>
      <c r="S92" s="1319"/>
      <c r="T92" s="1319"/>
      <c r="U92" s="1319"/>
      <c r="V92" s="1319"/>
      <c r="W92" s="1319"/>
      <c r="X92" s="1319"/>
      <c r="Y92" s="1319"/>
      <c r="Z92" s="1319"/>
      <c r="AA92" s="1319"/>
      <c r="AB92" s="1319"/>
      <c r="AC92" s="1322"/>
      <c r="AD92" s="416"/>
      <c r="AE92" s="1323" t="s">
        <v>621</v>
      </c>
      <c r="AF92" s="1322"/>
      <c r="AG92" s="416"/>
      <c r="AH92" s="1323" t="s">
        <v>622</v>
      </c>
      <c r="AI92" s="1324"/>
      <c r="AJ92" s="416"/>
      <c r="AK92" s="1323" t="s">
        <v>2666</v>
      </c>
      <c r="AL92" s="1319"/>
    </row>
    <row r="93" spans="1:29" ht="12.75">
      <c r="A93" s="405"/>
      <c r="B93" s="1335" t="s">
        <v>1559</v>
      </c>
      <c r="C93" s="1335"/>
      <c r="D93" s="1335"/>
      <c r="E93" s="1335"/>
      <c r="F93" s="1335"/>
      <c r="G93" s="1335"/>
      <c r="H93" s="1335"/>
      <c r="I93" s="1335"/>
      <c r="J93" s="1335"/>
      <c r="K93" s="1335"/>
      <c r="L93" s="1335"/>
      <c r="M93" s="1335"/>
      <c r="N93" s="1335"/>
      <c r="O93" s="1335"/>
      <c r="P93" s="1335"/>
      <c r="Q93" s="1335"/>
      <c r="R93" s="1335"/>
      <c r="S93" s="1335"/>
      <c r="T93" s="1335"/>
      <c r="U93" s="1335"/>
      <c r="V93" s="1335"/>
      <c r="W93" s="1335"/>
      <c r="X93" s="1335"/>
      <c r="Y93" s="1335"/>
      <c r="Z93" s="1335"/>
      <c r="AA93" s="1335"/>
      <c r="AB93" s="1335"/>
      <c r="AC93" s="1335"/>
    </row>
    <row r="94" spans="1:29" ht="12.75">
      <c r="A94" s="405"/>
      <c r="B94" s="1335"/>
      <c r="C94" s="1335"/>
      <c r="D94" s="1335"/>
      <c r="E94" s="1335"/>
      <c r="F94" s="1335"/>
      <c r="G94" s="1335"/>
      <c r="H94" s="1335"/>
      <c r="I94" s="1335"/>
      <c r="J94" s="1335"/>
      <c r="K94" s="1335"/>
      <c r="L94" s="1335"/>
      <c r="M94" s="1335"/>
      <c r="N94" s="1335"/>
      <c r="O94" s="1335"/>
      <c r="P94" s="1335"/>
      <c r="Q94" s="1335"/>
      <c r="R94" s="1335"/>
      <c r="S94" s="1335"/>
      <c r="T94" s="1335"/>
      <c r="U94" s="1335"/>
      <c r="V94" s="1335"/>
      <c r="W94" s="1335"/>
      <c r="X94" s="1335"/>
      <c r="Y94" s="1335"/>
      <c r="Z94" s="1335"/>
      <c r="AA94" s="1335"/>
      <c r="AB94" s="1335"/>
      <c r="AC94" s="1335"/>
    </row>
    <row r="96" spans="1:38" ht="12.75">
      <c r="A96" s="405" t="s">
        <v>245</v>
      </c>
      <c r="B96" s="1319" t="s">
        <v>1560</v>
      </c>
      <c r="C96" s="1319"/>
      <c r="D96" s="1319"/>
      <c r="E96" s="1319"/>
      <c r="F96" s="1319"/>
      <c r="G96" s="1319"/>
      <c r="H96" s="1319"/>
      <c r="I96" s="1319"/>
      <c r="J96" s="1319"/>
      <c r="K96" s="1319"/>
      <c r="L96" s="1319"/>
      <c r="M96" s="1319"/>
      <c r="N96" s="1319"/>
      <c r="O96" s="1319"/>
      <c r="P96" s="1319"/>
      <c r="Q96" s="1319"/>
      <c r="R96" s="1319"/>
      <c r="S96" s="1319"/>
      <c r="T96" s="1319"/>
      <c r="U96" s="1319"/>
      <c r="V96" s="1319"/>
      <c r="W96" s="1319"/>
      <c r="X96" s="1319"/>
      <c r="Y96" s="1319"/>
      <c r="Z96" s="1319"/>
      <c r="AA96" s="1319"/>
      <c r="AB96" s="1319"/>
      <c r="AC96" s="1322"/>
      <c r="AD96" s="416"/>
      <c r="AE96" s="1323" t="s">
        <v>621</v>
      </c>
      <c r="AF96" s="1322"/>
      <c r="AG96" s="416"/>
      <c r="AH96" s="1323" t="s">
        <v>622</v>
      </c>
      <c r="AI96" s="1324"/>
      <c r="AJ96" s="416"/>
      <c r="AK96" s="1323" t="s">
        <v>2666</v>
      </c>
      <c r="AL96" s="1319"/>
    </row>
    <row r="97" spans="1:37" s="424" customFormat="1" ht="12.75">
      <c r="A97" s="426"/>
      <c r="AC97" s="413"/>
      <c r="AD97" s="419"/>
      <c r="AE97" s="413"/>
      <c r="AF97" s="413"/>
      <c r="AG97" s="419"/>
      <c r="AH97" s="413"/>
      <c r="AI97" s="413"/>
      <c r="AJ97" s="419"/>
      <c r="AK97" s="413"/>
    </row>
    <row r="98" spans="1:38" ht="17.25">
      <c r="A98" s="1325" t="s">
        <v>2533</v>
      </c>
      <c r="B98" s="1325"/>
      <c r="C98" s="1325"/>
      <c r="D98" s="1325"/>
      <c r="E98" s="1325"/>
      <c r="F98" s="1325"/>
      <c r="G98" s="1325"/>
      <c r="H98" s="1325"/>
      <c r="I98" s="1325"/>
      <c r="J98" s="1325"/>
      <c r="K98" s="1325"/>
      <c r="L98" s="1325"/>
      <c r="M98" s="1325"/>
      <c r="N98" s="1325"/>
      <c r="O98" s="1325"/>
      <c r="P98" s="1325"/>
      <c r="Q98" s="1325"/>
      <c r="R98" s="1325"/>
      <c r="S98" s="1325"/>
      <c r="T98" s="1325"/>
      <c r="U98" s="1325"/>
      <c r="V98" s="1325"/>
      <c r="W98" s="1325"/>
      <c r="X98" s="1325"/>
      <c r="Y98" s="1325"/>
      <c r="Z98" s="1325"/>
      <c r="AA98" s="1325"/>
      <c r="AB98" s="1325"/>
      <c r="AC98" s="1325"/>
      <c r="AD98" s="1325"/>
      <c r="AE98" s="1325"/>
      <c r="AF98" s="1325"/>
      <c r="AG98" s="1325"/>
      <c r="AH98" s="1325"/>
      <c r="AI98" s="1325"/>
      <c r="AJ98" s="1325"/>
      <c r="AK98" s="1325"/>
      <c r="AL98" s="1325"/>
    </row>
    <row r="99" spans="1:38" ht="12.75">
      <c r="A99" s="425"/>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row>
    <row r="100" spans="1:38" ht="12.75">
      <c r="A100" s="405" t="s">
        <v>618</v>
      </c>
      <c r="B100" s="1318" t="s">
        <v>1561</v>
      </c>
      <c r="C100" s="1318"/>
      <c r="D100" s="1318"/>
      <c r="E100" s="1318"/>
      <c r="F100" s="1318"/>
      <c r="G100" s="1318"/>
      <c r="H100" s="1318"/>
      <c r="I100" s="1318"/>
      <c r="J100" s="1318"/>
      <c r="K100" s="1318"/>
      <c r="L100" s="1318"/>
      <c r="M100" s="1318"/>
      <c r="N100" s="1318"/>
      <c r="O100" s="1318"/>
      <c r="P100" s="1318"/>
      <c r="Q100" s="1318"/>
      <c r="R100" s="1318"/>
      <c r="S100" s="1318"/>
      <c r="T100" s="1318"/>
      <c r="U100" s="1318"/>
      <c r="V100" s="1318"/>
      <c r="W100" s="1318"/>
      <c r="X100" s="1318"/>
      <c r="Y100" s="1318"/>
      <c r="Z100" s="1318"/>
      <c r="AA100" s="1318"/>
      <c r="AB100" s="1318"/>
      <c r="AC100" s="1327"/>
      <c r="AD100" s="416"/>
      <c r="AE100" s="1323" t="s">
        <v>621</v>
      </c>
      <c r="AF100" s="1322"/>
      <c r="AG100" s="416"/>
      <c r="AH100" s="1323" t="s">
        <v>622</v>
      </c>
      <c r="AI100" s="1324"/>
      <c r="AJ100" s="416"/>
      <c r="AK100" s="1323" t="s">
        <v>2666</v>
      </c>
      <c r="AL100" s="1319"/>
    </row>
    <row r="101" spans="1:38" ht="12.75">
      <c r="A101" s="414"/>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22"/>
      <c r="AE101" s="408"/>
      <c r="AF101" s="408"/>
      <c r="AG101" s="422"/>
      <c r="AH101" s="408"/>
      <c r="AI101" s="408"/>
      <c r="AJ101" s="423"/>
      <c r="AK101" s="408"/>
      <c r="AL101" s="408"/>
    </row>
    <row r="102" spans="1:38" ht="12.75">
      <c r="A102" s="405" t="s">
        <v>243</v>
      </c>
      <c r="B102" s="1318" t="s">
        <v>1562</v>
      </c>
      <c r="C102" s="1318"/>
      <c r="D102" s="1318"/>
      <c r="E102" s="1318"/>
      <c r="F102" s="1318"/>
      <c r="G102" s="1318"/>
      <c r="H102" s="1318"/>
      <c r="I102" s="1318"/>
      <c r="J102" s="1318"/>
      <c r="K102" s="1318"/>
      <c r="L102" s="1318"/>
      <c r="M102" s="1318"/>
      <c r="N102" s="1318"/>
      <c r="O102" s="1318"/>
      <c r="P102" s="1318"/>
      <c r="Q102" s="1318"/>
      <c r="R102" s="1318"/>
      <c r="S102" s="1318"/>
      <c r="T102" s="1318"/>
      <c r="U102" s="1318"/>
      <c r="V102" s="1318"/>
      <c r="W102" s="1318"/>
      <c r="X102" s="1318"/>
      <c r="Y102" s="1318"/>
      <c r="Z102" s="1318"/>
      <c r="AA102" s="1318"/>
      <c r="AB102" s="1318"/>
      <c r="AC102" s="1327"/>
      <c r="AD102" s="416"/>
      <c r="AE102" s="1323" t="s">
        <v>621</v>
      </c>
      <c r="AF102" s="1322"/>
      <c r="AG102" s="416"/>
      <c r="AH102" s="1323" t="s">
        <v>622</v>
      </c>
      <c r="AI102" s="1324"/>
      <c r="AJ102" s="416"/>
      <c r="AK102" s="1323" t="s">
        <v>2666</v>
      </c>
      <c r="AL102" s="1319"/>
    </row>
    <row r="103" spans="1:29" ht="12.75">
      <c r="A103" s="414"/>
      <c r="B103" s="406"/>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row>
    <row r="104" spans="1:38" ht="12.75">
      <c r="A104" s="405" t="s">
        <v>245</v>
      </c>
      <c r="B104" s="1318" t="s">
        <v>1563</v>
      </c>
      <c r="C104" s="1318"/>
      <c r="D104" s="1318"/>
      <c r="E104" s="1318"/>
      <c r="F104" s="1318"/>
      <c r="G104" s="1318"/>
      <c r="H104" s="1318"/>
      <c r="I104" s="1318"/>
      <c r="J104" s="1318"/>
      <c r="K104" s="1318"/>
      <c r="L104" s="1318"/>
      <c r="M104" s="1318"/>
      <c r="N104" s="1318"/>
      <c r="O104" s="1318"/>
      <c r="P104" s="1318"/>
      <c r="Q104" s="1318"/>
      <c r="R104" s="1318"/>
      <c r="S104" s="1318"/>
      <c r="T104" s="1318"/>
      <c r="U104" s="1318"/>
      <c r="V104" s="1318"/>
      <c r="W104" s="1318"/>
      <c r="X104" s="1318"/>
      <c r="Y104" s="1318"/>
      <c r="Z104" s="1318"/>
      <c r="AA104" s="1318"/>
      <c r="AB104" s="1318"/>
      <c r="AC104" s="1327"/>
      <c r="AD104" s="416"/>
      <c r="AE104" s="1323" t="s">
        <v>621</v>
      </c>
      <c r="AF104" s="1322"/>
      <c r="AG104" s="416"/>
      <c r="AH104" s="1323" t="s">
        <v>622</v>
      </c>
      <c r="AI104" s="1324"/>
      <c r="AJ104" s="416"/>
      <c r="AK104" s="1323" t="s">
        <v>2666</v>
      </c>
      <c r="AL104" s="1319"/>
    </row>
    <row r="105" spans="1:38" ht="12.75">
      <c r="A105" s="414"/>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7"/>
      <c r="AD105" s="419"/>
      <c r="AE105" s="413"/>
      <c r="AF105" s="413"/>
      <c r="AG105" s="419"/>
      <c r="AH105" s="413"/>
      <c r="AI105" s="413"/>
      <c r="AJ105" s="419"/>
      <c r="AK105" s="413"/>
      <c r="AL105" s="424"/>
    </row>
    <row r="106" spans="1:38" ht="12.75">
      <c r="A106" s="405" t="s">
        <v>247</v>
      </c>
      <c r="B106" s="1318" t="s">
        <v>1564</v>
      </c>
      <c r="C106" s="1318"/>
      <c r="D106" s="1318"/>
      <c r="E106" s="1318"/>
      <c r="F106" s="1318"/>
      <c r="G106" s="1318"/>
      <c r="H106" s="1318"/>
      <c r="I106" s="1318"/>
      <c r="J106" s="1318"/>
      <c r="K106" s="1318"/>
      <c r="L106" s="1318"/>
      <c r="M106" s="1318"/>
      <c r="N106" s="1318"/>
      <c r="O106" s="1318"/>
      <c r="P106" s="1318"/>
      <c r="Q106" s="1318"/>
      <c r="R106" s="1318"/>
      <c r="S106" s="1318"/>
      <c r="T106" s="1318"/>
      <c r="U106" s="1318"/>
      <c r="V106" s="1318"/>
      <c r="W106" s="1318"/>
      <c r="X106" s="1318"/>
      <c r="Y106" s="1318"/>
      <c r="Z106" s="1318"/>
      <c r="AA106" s="1318"/>
      <c r="AB106" s="1318"/>
      <c r="AC106" s="1327"/>
      <c r="AD106" s="416"/>
      <c r="AE106" s="1323" t="s">
        <v>621</v>
      </c>
      <c r="AF106" s="1322"/>
      <c r="AG106" s="416"/>
      <c r="AH106" s="1323" t="s">
        <v>622</v>
      </c>
      <c r="AI106" s="1324"/>
      <c r="AJ106" s="416"/>
      <c r="AK106" s="1323" t="s">
        <v>2666</v>
      </c>
      <c r="AL106" s="1319"/>
    </row>
    <row r="107" spans="2:38" ht="12.75">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22"/>
      <c r="AE107" s="408"/>
      <c r="AF107" s="408"/>
      <c r="AG107" s="422"/>
      <c r="AH107" s="408"/>
      <c r="AI107" s="408"/>
      <c r="AJ107" s="423"/>
      <c r="AK107" s="408"/>
      <c r="AL107" s="408"/>
    </row>
    <row r="108" spans="1:38" ht="12.75">
      <c r="A108" s="405" t="s">
        <v>250</v>
      </c>
      <c r="B108" s="1318" t="s">
        <v>1565</v>
      </c>
      <c r="C108" s="1318"/>
      <c r="D108" s="1318"/>
      <c r="E108" s="1318"/>
      <c r="F108" s="1318"/>
      <c r="G108" s="1318"/>
      <c r="H108" s="1318"/>
      <c r="I108" s="1318"/>
      <c r="J108" s="1318"/>
      <c r="K108" s="1318"/>
      <c r="L108" s="1318"/>
      <c r="M108" s="1318"/>
      <c r="N108" s="1318"/>
      <c r="O108" s="1318"/>
      <c r="P108" s="1318"/>
      <c r="Q108" s="1318"/>
      <c r="R108" s="1318"/>
      <c r="S108" s="1318"/>
      <c r="T108" s="1318"/>
      <c r="U108" s="1318"/>
      <c r="V108" s="1318"/>
      <c r="W108" s="1318"/>
      <c r="X108" s="1318"/>
      <c r="Y108" s="1318"/>
      <c r="Z108" s="1318"/>
      <c r="AA108" s="1318"/>
      <c r="AB108" s="1318"/>
      <c r="AC108" s="1327"/>
      <c r="AD108" s="416"/>
      <c r="AE108" s="1323" t="s">
        <v>621</v>
      </c>
      <c r="AF108" s="1322"/>
      <c r="AG108" s="416"/>
      <c r="AH108" s="1323" t="s">
        <v>622</v>
      </c>
      <c r="AI108" s="1324"/>
      <c r="AJ108" s="416"/>
      <c r="AK108" s="1323" t="s">
        <v>2666</v>
      </c>
      <c r="AL108" s="1319"/>
    </row>
    <row r="109" spans="2:29" ht="12.75">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row>
    <row r="110" spans="1:38" ht="12.75">
      <c r="A110" s="405" t="s">
        <v>252</v>
      </c>
      <c r="B110" s="1318" t="s">
        <v>1566</v>
      </c>
      <c r="C110" s="1318"/>
      <c r="D110" s="1318"/>
      <c r="E110" s="1318"/>
      <c r="F110" s="1318"/>
      <c r="G110" s="1318"/>
      <c r="H110" s="1318"/>
      <c r="I110" s="1318"/>
      <c r="J110" s="1318"/>
      <c r="K110" s="1318"/>
      <c r="L110" s="1318"/>
      <c r="M110" s="1318"/>
      <c r="N110" s="1318"/>
      <c r="O110" s="1318"/>
      <c r="P110" s="1318"/>
      <c r="Q110" s="1318"/>
      <c r="R110" s="1318"/>
      <c r="S110" s="1318"/>
      <c r="T110" s="1318"/>
      <c r="U110" s="1318"/>
      <c r="V110" s="1318"/>
      <c r="W110" s="1318"/>
      <c r="X110" s="1318"/>
      <c r="Y110" s="1318"/>
      <c r="Z110" s="1318"/>
      <c r="AA110" s="1318"/>
      <c r="AB110" s="1318"/>
      <c r="AC110" s="1327"/>
      <c r="AD110" s="416"/>
      <c r="AE110" s="1323" t="s">
        <v>621</v>
      </c>
      <c r="AF110" s="1322"/>
      <c r="AG110" s="416"/>
      <c r="AH110" s="1323" t="s">
        <v>622</v>
      </c>
      <c r="AI110" s="1324"/>
      <c r="AJ110" s="416"/>
      <c r="AK110" s="1323" t="s">
        <v>2666</v>
      </c>
      <c r="AL110" s="1319"/>
    </row>
    <row r="111" spans="1:38" ht="12.75">
      <c r="A111" s="405"/>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7"/>
      <c r="AD111" s="419"/>
      <c r="AE111" s="413"/>
      <c r="AF111" s="413"/>
      <c r="AG111" s="419"/>
      <c r="AH111" s="413"/>
      <c r="AI111" s="413"/>
      <c r="AJ111" s="419"/>
      <c r="AK111" s="413"/>
      <c r="AL111" s="424"/>
    </row>
    <row r="112" spans="1:30" ht="12.75">
      <c r="A112" s="405" t="s">
        <v>254</v>
      </c>
      <c r="B112" s="1336" t="s">
        <v>1567</v>
      </c>
      <c r="C112" s="1336"/>
      <c r="D112" s="1336"/>
      <c r="E112" s="1336"/>
      <c r="F112" s="1336"/>
      <c r="G112" s="1336"/>
      <c r="H112" s="1336"/>
      <c r="I112" s="1336"/>
      <c r="J112" s="1336"/>
      <c r="K112" s="1336"/>
      <c r="L112" s="1336"/>
      <c r="M112" s="1336"/>
      <c r="N112" s="1336"/>
      <c r="O112" s="1336"/>
      <c r="P112" s="1336"/>
      <c r="Q112" s="1336"/>
      <c r="R112" s="1336"/>
      <c r="S112" s="1336"/>
      <c r="T112" s="1336"/>
      <c r="U112" s="1336"/>
      <c r="V112" s="1336"/>
      <c r="W112" s="1336"/>
      <c r="X112" s="1336"/>
      <c r="Y112" s="1336"/>
      <c r="Z112" s="1336"/>
      <c r="AA112" s="1336"/>
      <c r="AB112" s="1336"/>
      <c r="AC112" s="1336"/>
      <c r="AD112" s="57"/>
    </row>
    <row r="113" spans="1:38" ht="12.75">
      <c r="A113" s="405"/>
      <c r="B113" s="406" t="s">
        <v>1369</v>
      </c>
      <c r="C113" s="1318" t="s">
        <v>1568</v>
      </c>
      <c r="D113" s="1318"/>
      <c r="E113" s="1318"/>
      <c r="F113" s="1318"/>
      <c r="G113" s="1318"/>
      <c r="H113" s="1318"/>
      <c r="I113" s="1318"/>
      <c r="J113" s="1318"/>
      <c r="K113" s="1318"/>
      <c r="L113" s="1318"/>
      <c r="M113" s="1318"/>
      <c r="N113" s="1318"/>
      <c r="O113" s="1318"/>
      <c r="P113" s="1318"/>
      <c r="Q113" s="1318"/>
      <c r="R113" s="1318"/>
      <c r="S113" s="1318"/>
      <c r="T113" s="1318"/>
      <c r="U113" s="1318"/>
      <c r="V113" s="1318"/>
      <c r="W113" s="1318"/>
      <c r="X113" s="1318"/>
      <c r="Y113" s="1318"/>
      <c r="Z113" s="1318"/>
      <c r="AA113" s="1318"/>
      <c r="AB113" s="1318"/>
      <c r="AC113" s="1327"/>
      <c r="AD113" s="416"/>
      <c r="AE113" s="1323" t="s">
        <v>621</v>
      </c>
      <c r="AF113" s="1322"/>
      <c r="AG113" s="416"/>
      <c r="AH113" s="1323" t="s">
        <v>622</v>
      </c>
      <c r="AI113" s="1324"/>
      <c r="AJ113" s="416"/>
      <c r="AK113" s="1323" t="s">
        <v>2666</v>
      </c>
      <c r="AL113" s="1319"/>
    </row>
    <row r="114" spans="1:38" ht="12.75">
      <c r="A114" s="405"/>
      <c r="B114" s="406" t="s">
        <v>1371</v>
      </c>
      <c r="C114" s="1318" t="s">
        <v>1569</v>
      </c>
      <c r="D114" s="1318"/>
      <c r="E114" s="1318"/>
      <c r="F114" s="1318"/>
      <c r="G114" s="1318"/>
      <c r="H114" s="1318"/>
      <c r="I114" s="1318"/>
      <c r="J114" s="1318"/>
      <c r="K114" s="1318"/>
      <c r="L114" s="1318"/>
      <c r="M114" s="1318"/>
      <c r="N114" s="1318"/>
      <c r="O114" s="1318"/>
      <c r="P114" s="1318"/>
      <c r="Q114" s="1318"/>
      <c r="R114" s="1318"/>
      <c r="S114" s="1318"/>
      <c r="T114" s="1318"/>
      <c r="U114" s="1318"/>
      <c r="V114" s="1318"/>
      <c r="W114" s="1318"/>
      <c r="X114" s="1318"/>
      <c r="Y114" s="1318"/>
      <c r="Z114" s="1318"/>
      <c r="AA114" s="1318"/>
      <c r="AB114" s="1318"/>
      <c r="AC114" s="1327"/>
      <c r="AD114" s="416"/>
      <c r="AE114" s="1323" t="s">
        <v>621</v>
      </c>
      <c r="AF114" s="1322"/>
      <c r="AG114" s="416"/>
      <c r="AH114" s="1323" t="s">
        <v>622</v>
      </c>
      <c r="AI114" s="1324"/>
      <c r="AJ114" s="416"/>
      <c r="AK114" s="1323" t="s">
        <v>2666</v>
      </c>
      <c r="AL114" s="1319"/>
    </row>
    <row r="115" spans="1:38" ht="12.75">
      <c r="A115" s="405"/>
      <c r="B115" s="406" t="s">
        <v>1373</v>
      </c>
      <c r="C115" s="1318" t="s">
        <v>1570</v>
      </c>
      <c r="D115" s="1318"/>
      <c r="E115" s="1318"/>
      <c r="F115" s="1318"/>
      <c r="G115" s="1318"/>
      <c r="H115" s="1318"/>
      <c r="I115" s="1318"/>
      <c r="J115" s="1318"/>
      <c r="K115" s="1318"/>
      <c r="L115" s="1318"/>
      <c r="M115" s="1318"/>
      <c r="N115" s="1318"/>
      <c r="O115" s="1318"/>
      <c r="P115" s="1318"/>
      <c r="Q115" s="1318"/>
      <c r="R115" s="1318"/>
      <c r="S115" s="1318"/>
      <c r="T115" s="1318"/>
      <c r="U115" s="1318"/>
      <c r="V115" s="1318"/>
      <c r="W115" s="1318"/>
      <c r="X115" s="1318"/>
      <c r="Y115" s="1318"/>
      <c r="Z115" s="1318"/>
      <c r="AA115" s="1318"/>
      <c r="AB115" s="1318"/>
      <c r="AC115" s="1327"/>
      <c r="AD115" s="416"/>
      <c r="AE115" s="1323" t="s">
        <v>621</v>
      </c>
      <c r="AF115" s="1322"/>
      <c r="AG115" s="416"/>
      <c r="AH115" s="1323" t="s">
        <v>622</v>
      </c>
      <c r="AI115" s="1324"/>
      <c r="AJ115" s="416"/>
      <c r="AK115" s="1323" t="s">
        <v>2666</v>
      </c>
      <c r="AL115" s="1319"/>
    </row>
    <row r="116" spans="1:38" ht="12.75">
      <c r="A116" s="405"/>
      <c r="B116" s="406" t="s">
        <v>1375</v>
      </c>
      <c r="C116" s="1318" t="s">
        <v>1571</v>
      </c>
      <c r="D116" s="1318"/>
      <c r="E116" s="1318"/>
      <c r="F116" s="1318"/>
      <c r="G116" s="1318"/>
      <c r="H116" s="1318"/>
      <c r="I116" s="1318"/>
      <c r="J116" s="1318"/>
      <c r="K116" s="1318"/>
      <c r="L116" s="1318"/>
      <c r="M116" s="1318"/>
      <c r="N116" s="1318"/>
      <c r="O116" s="1318"/>
      <c r="P116" s="1318"/>
      <c r="Q116" s="1318"/>
      <c r="R116" s="1318"/>
      <c r="S116" s="1318"/>
      <c r="T116" s="1318"/>
      <c r="U116" s="1318"/>
      <c r="V116" s="1318"/>
      <c r="W116" s="1318"/>
      <c r="X116" s="1318"/>
      <c r="Y116" s="1318"/>
      <c r="Z116" s="1318"/>
      <c r="AA116" s="1318"/>
      <c r="AB116" s="1318"/>
      <c r="AC116" s="1327"/>
      <c r="AD116" s="416"/>
      <c r="AE116" s="1323" t="s">
        <v>621</v>
      </c>
      <c r="AF116" s="1322"/>
      <c r="AG116" s="416"/>
      <c r="AH116" s="1323" t="s">
        <v>622</v>
      </c>
      <c r="AI116" s="1324"/>
      <c r="AJ116" s="416"/>
      <c r="AK116" s="1323" t="s">
        <v>2666</v>
      </c>
      <c r="AL116" s="1319"/>
    </row>
    <row r="117" spans="1:38" ht="12.75">
      <c r="A117" s="405"/>
      <c r="B117" s="406" t="s">
        <v>1572</v>
      </c>
      <c r="C117" s="1318" t="s">
        <v>1573</v>
      </c>
      <c r="D117" s="1318"/>
      <c r="E117" s="1318"/>
      <c r="F117" s="1318"/>
      <c r="G117" s="1318"/>
      <c r="H117" s="1318"/>
      <c r="I117" s="1318"/>
      <c r="J117" s="1318"/>
      <c r="K117" s="1318"/>
      <c r="L117" s="1318"/>
      <c r="M117" s="1318"/>
      <c r="N117" s="1318"/>
      <c r="O117" s="1318"/>
      <c r="P117" s="1318"/>
      <c r="Q117" s="1318"/>
      <c r="R117" s="1318"/>
      <c r="S117" s="1318"/>
      <c r="T117" s="1318"/>
      <c r="U117" s="1318"/>
      <c r="V117" s="1318"/>
      <c r="W117" s="1318"/>
      <c r="X117" s="1318"/>
      <c r="Y117" s="1318"/>
      <c r="Z117" s="1318"/>
      <c r="AA117" s="1318"/>
      <c r="AB117" s="1318"/>
      <c r="AC117" s="1327"/>
      <c r="AD117" s="416"/>
      <c r="AE117" s="1323" t="s">
        <v>621</v>
      </c>
      <c r="AF117" s="1322"/>
      <c r="AG117" s="416"/>
      <c r="AH117" s="1323" t="s">
        <v>622</v>
      </c>
      <c r="AI117" s="1324"/>
      <c r="AJ117" s="416"/>
      <c r="AK117" s="1323" t="s">
        <v>2666</v>
      </c>
      <c r="AL117" s="1319"/>
    </row>
    <row r="118" spans="1:38" ht="12.75">
      <c r="A118" s="405"/>
      <c r="B118" s="406" t="s">
        <v>1574</v>
      </c>
      <c r="C118" s="1318" t="s">
        <v>1575</v>
      </c>
      <c r="D118" s="1318"/>
      <c r="E118" s="1318"/>
      <c r="F118" s="1318"/>
      <c r="G118" s="1318"/>
      <c r="H118" s="1318"/>
      <c r="I118" s="1318"/>
      <c r="J118" s="1318"/>
      <c r="K118" s="1318"/>
      <c r="L118" s="1318"/>
      <c r="M118" s="1318"/>
      <c r="N118" s="1318"/>
      <c r="O118" s="1318"/>
      <c r="P118" s="1318"/>
      <c r="Q118" s="1318"/>
      <c r="R118" s="1318"/>
      <c r="S118" s="1318"/>
      <c r="T118" s="1318"/>
      <c r="U118" s="1318"/>
      <c r="V118" s="1318"/>
      <c r="W118" s="1318"/>
      <c r="X118" s="1318"/>
      <c r="Y118" s="1318"/>
      <c r="Z118" s="1318"/>
      <c r="AA118" s="1318"/>
      <c r="AB118" s="1318"/>
      <c r="AC118" s="1327"/>
      <c r="AD118" s="416"/>
      <c r="AE118" s="1323" t="s">
        <v>621</v>
      </c>
      <c r="AF118" s="1322"/>
      <c r="AG118" s="416"/>
      <c r="AH118" s="1323" t="s">
        <v>622</v>
      </c>
      <c r="AI118" s="1324"/>
      <c r="AJ118" s="416"/>
      <c r="AK118" s="1323" t="s">
        <v>2666</v>
      </c>
      <c r="AL118" s="1319"/>
    </row>
    <row r="119" spans="1:38" ht="12.75">
      <c r="A119" s="409"/>
      <c r="B119" s="406"/>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22"/>
      <c r="AE119" s="408"/>
      <c r="AF119" s="408"/>
      <c r="AG119" s="422"/>
      <c r="AH119" s="408"/>
      <c r="AI119" s="408"/>
      <c r="AJ119" s="423"/>
      <c r="AK119" s="408"/>
      <c r="AL119" s="408"/>
    </row>
    <row r="120" spans="1:38" ht="17.25">
      <c r="A120" s="1325" t="s">
        <v>1576</v>
      </c>
      <c r="B120" s="1325"/>
      <c r="C120" s="1325"/>
      <c r="D120" s="1325"/>
      <c r="E120" s="1325"/>
      <c r="F120" s="1325"/>
      <c r="G120" s="1325"/>
      <c r="H120" s="1325"/>
      <c r="I120" s="1325"/>
      <c r="J120" s="1325"/>
      <c r="K120" s="1325"/>
      <c r="L120" s="1325"/>
      <c r="M120" s="1325"/>
      <c r="N120" s="1325"/>
      <c r="O120" s="1325"/>
      <c r="P120" s="1325"/>
      <c r="Q120" s="1325"/>
      <c r="R120" s="1325"/>
      <c r="S120" s="1325"/>
      <c r="T120" s="1325"/>
      <c r="U120" s="1325"/>
      <c r="V120" s="1325"/>
      <c r="W120" s="1325"/>
      <c r="X120" s="1325"/>
      <c r="Y120" s="1325"/>
      <c r="Z120" s="1325"/>
      <c r="AA120" s="1325"/>
      <c r="AB120" s="1325"/>
      <c r="AC120" s="1325"/>
      <c r="AD120" s="1325"/>
      <c r="AE120" s="1325"/>
      <c r="AF120" s="1325"/>
      <c r="AG120" s="1325"/>
      <c r="AH120" s="1325"/>
      <c r="AI120" s="1325"/>
      <c r="AJ120" s="1325"/>
      <c r="AK120" s="1325"/>
      <c r="AL120" s="1325"/>
    </row>
    <row r="121" spans="1:38" ht="12.75">
      <c r="A121" s="425"/>
      <c r="B121" s="425"/>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row>
    <row r="122" spans="1:38" ht="12.75">
      <c r="A122" s="405" t="s">
        <v>618</v>
      </c>
      <c r="B122" s="1318" t="s">
        <v>2135</v>
      </c>
      <c r="C122" s="1318"/>
      <c r="D122" s="1318"/>
      <c r="E122" s="1318"/>
      <c r="F122" s="1318"/>
      <c r="G122" s="1318"/>
      <c r="H122" s="1318"/>
      <c r="I122" s="1318"/>
      <c r="J122" s="1318"/>
      <c r="K122" s="1318"/>
      <c r="L122" s="1318"/>
      <c r="M122" s="1318"/>
      <c r="N122" s="1318"/>
      <c r="O122" s="1318"/>
      <c r="P122" s="1318"/>
      <c r="Q122" s="1318"/>
      <c r="R122" s="1318"/>
      <c r="S122" s="1318"/>
      <c r="T122" s="1318"/>
      <c r="U122" s="1318"/>
      <c r="V122" s="1318"/>
      <c r="W122" s="1318"/>
      <c r="X122" s="1318"/>
      <c r="Y122" s="1318"/>
      <c r="Z122" s="1318"/>
      <c r="AA122" s="1318"/>
      <c r="AB122" s="1318"/>
      <c r="AC122" s="1327"/>
      <c r="AD122" s="416"/>
      <c r="AE122" s="1323" t="s">
        <v>621</v>
      </c>
      <c r="AF122" s="1322"/>
      <c r="AG122" s="416"/>
      <c r="AH122" s="1323" t="s">
        <v>622</v>
      </c>
      <c r="AI122" s="1324"/>
      <c r="AJ122" s="416"/>
      <c r="AK122" s="1323" t="s">
        <v>2666</v>
      </c>
      <c r="AL122" s="1319"/>
    </row>
    <row r="123" spans="1:38" ht="12.75">
      <c r="A123" s="414"/>
      <c r="B123" s="406"/>
      <c r="C123" s="406"/>
      <c r="D123" s="406"/>
      <c r="E123" s="406"/>
      <c r="F123" s="406"/>
      <c r="G123" s="406"/>
      <c r="H123" s="406"/>
      <c r="I123" s="406"/>
      <c r="J123" s="406"/>
      <c r="K123" s="406"/>
      <c r="L123" s="406"/>
      <c r="M123" s="406"/>
      <c r="N123" s="406"/>
      <c r="O123" s="406"/>
      <c r="P123" s="406"/>
      <c r="Q123" s="406"/>
      <c r="R123" s="406"/>
      <c r="S123" s="406"/>
      <c r="T123" s="406"/>
      <c r="U123" s="406"/>
      <c r="V123" s="406"/>
      <c r="W123" s="406"/>
      <c r="X123" s="406"/>
      <c r="Y123" s="406"/>
      <c r="Z123" s="406"/>
      <c r="AA123" s="406"/>
      <c r="AB123" s="406"/>
      <c r="AC123" s="406"/>
      <c r="AD123" s="422"/>
      <c r="AE123" s="408"/>
      <c r="AF123" s="408"/>
      <c r="AG123" s="422"/>
      <c r="AH123" s="408"/>
      <c r="AI123" s="408"/>
      <c r="AJ123" s="423"/>
      <c r="AK123" s="408"/>
      <c r="AL123" s="408"/>
    </row>
    <row r="124" spans="1:38" ht="12.75">
      <c r="A124" s="405" t="s">
        <v>243</v>
      </c>
      <c r="B124" s="1318" t="s">
        <v>2136</v>
      </c>
      <c r="C124" s="1318"/>
      <c r="D124" s="1318"/>
      <c r="E124" s="1318"/>
      <c r="F124" s="1318"/>
      <c r="G124" s="1318"/>
      <c r="H124" s="1318"/>
      <c r="I124" s="1318"/>
      <c r="J124" s="1318"/>
      <c r="K124" s="1318"/>
      <c r="L124" s="1318"/>
      <c r="M124" s="1318"/>
      <c r="N124" s="1318"/>
      <c r="O124" s="1318"/>
      <c r="P124" s="1318"/>
      <c r="Q124" s="1318"/>
      <c r="R124" s="1318"/>
      <c r="S124" s="1318"/>
      <c r="T124" s="1318"/>
      <c r="U124" s="1318"/>
      <c r="V124" s="1318"/>
      <c r="W124" s="1318"/>
      <c r="X124" s="1318"/>
      <c r="Y124" s="1318"/>
      <c r="Z124" s="1318"/>
      <c r="AA124" s="1318"/>
      <c r="AB124" s="1318"/>
      <c r="AC124" s="1327"/>
      <c r="AD124" s="416"/>
      <c r="AE124" s="1323" t="s">
        <v>621</v>
      </c>
      <c r="AF124" s="1322"/>
      <c r="AG124" s="416"/>
      <c r="AH124" s="1323" t="s">
        <v>622</v>
      </c>
      <c r="AI124" s="1324"/>
      <c r="AJ124" s="416"/>
      <c r="AK124" s="1323" t="s">
        <v>2666</v>
      </c>
      <c r="AL124" s="1319"/>
    </row>
    <row r="125" spans="1:29" ht="12.75">
      <c r="A125" s="414"/>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row>
    <row r="126" spans="1:38" ht="12.75">
      <c r="A126" s="405" t="s">
        <v>245</v>
      </c>
      <c r="B126" s="1318" t="s">
        <v>2137</v>
      </c>
      <c r="C126" s="1318"/>
      <c r="D126" s="1318"/>
      <c r="E126" s="1318"/>
      <c r="F126" s="1318"/>
      <c r="G126" s="1318"/>
      <c r="H126" s="1318"/>
      <c r="I126" s="1318"/>
      <c r="J126" s="1318"/>
      <c r="K126" s="1318"/>
      <c r="L126" s="1318"/>
      <c r="M126" s="1318"/>
      <c r="N126" s="1318"/>
      <c r="O126" s="1318"/>
      <c r="P126" s="1318"/>
      <c r="Q126" s="1318"/>
      <c r="R126" s="1318"/>
      <c r="S126" s="1318"/>
      <c r="T126" s="1318"/>
      <c r="U126" s="1318"/>
      <c r="V126" s="1318"/>
      <c r="W126" s="1318"/>
      <c r="X126" s="1318"/>
      <c r="Y126" s="1318"/>
      <c r="Z126" s="1318"/>
      <c r="AA126" s="1318"/>
      <c r="AB126" s="1318"/>
      <c r="AC126" s="1327"/>
      <c r="AD126" s="416"/>
      <c r="AE126" s="1323" t="s">
        <v>621</v>
      </c>
      <c r="AF126" s="1322"/>
      <c r="AG126" s="416"/>
      <c r="AH126" s="1323" t="s">
        <v>622</v>
      </c>
      <c r="AI126" s="1324"/>
      <c r="AJ126" s="416"/>
      <c r="AK126" s="1323" t="s">
        <v>2666</v>
      </c>
      <c r="AL126" s="1319"/>
    </row>
    <row r="127" spans="1:38" ht="12.75">
      <c r="A127" s="414"/>
      <c r="B127" s="406"/>
      <c r="C127" s="406"/>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7"/>
      <c r="AD127" s="419"/>
      <c r="AE127" s="413"/>
      <c r="AF127" s="413"/>
      <c r="AG127" s="419"/>
      <c r="AH127" s="413"/>
      <c r="AI127" s="413"/>
      <c r="AJ127" s="419"/>
      <c r="AK127" s="413"/>
      <c r="AL127" s="424"/>
    </row>
    <row r="128" spans="1:38" ht="12.75">
      <c r="A128" s="405" t="s">
        <v>247</v>
      </c>
      <c r="B128" s="1318" t="s">
        <v>2138</v>
      </c>
      <c r="C128" s="1318"/>
      <c r="D128" s="1318"/>
      <c r="E128" s="1318"/>
      <c r="F128" s="1318"/>
      <c r="G128" s="1318"/>
      <c r="H128" s="1318"/>
      <c r="I128" s="1318"/>
      <c r="J128" s="1318"/>
      <c r="K128" s="1318"/>
      <c r="L128" s="1318"/>
      <c r="M128" s="1318"/>
      <c r="N128" s="1318"/>
      <c r="O128" s="1318"/>
      <c r="P128" s="1318"/>
      <c r="Q128" s="1318"/>
      <c r="R128" s="1318"/>
      <c r="S128" s="1318"/>
      <c r="T128" s="1318"/>
      <c r="U128" s="1318"/>
      <c r="V128" s="1318"/>
      <c r="W128" s="1318"/>
      <c r="X128" s="1318"/>
      <c r="Y128" s="1318"/>
      <c r="Z128" s="1318"/>
      <c r="AA128" s="1318"/>
      <c r="AB128" s="1318"/>
      <c r="AC128" s="1327"/>
      <c r="AD128" s="416"/>
      <c r="AE128" s="1323" t="s">
        <v>621</v>
      </c>
      <c r="AF128" s="1322"/>
      <c r="AG128" s="416"/>
      <c r="AH128" s="1323" t="s">
        <v>622</v>
      </c>
      <c r="AI128" s="1324"/>
      <c r="AJ128" s="416"/>
      <c r="AK128" s="1323" t="s">
        <v>2666</v>
      </c>
      <c r="AL128" s="1319"/>
    </row>
    <row r="129" spans="2:38" ht="12.75">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22"/>
      <c r="AE129" s="408"/>
      <c r="AF129" s="408"/>
      <c r="AG129" s="422"/>
      <c r="AH129" s="408"/>
      <c r="AI129" s="408"/>
      <c r="AJ129" s="423"/>
      <c r="AK129" s="408"/>
      <c r="AL129" s="408"/>
    </row>
    <row r="130" spans="1:38" ht="12.75">
      <c r="A130" s="405" t="s">
        <v>250</v>
      </c>
      <c r="B130" s="1318" t="s">
        <v>2139</v>
      </c>
      <c r="C130" s="1318"/>
      <c r="D130" s="1318"/>
      <c r="E130" s="1318"/>
      <c r="F130" s="1318"/>
      <c r="G130" s="1318"/>
      <c r="H130" s="1318"/>
      <c r="I130" s="1318"/>
      <c r="J130" s="1318"/>
      <c r="K130" s="1318"/>
      <c r="L130" s="1318"/>
      <c r="M130" s="1318"/>
      <c r="N130" s="1318"/>
      <c r="O130" s="1318"/>
      <c r="P130" s="1318"/>
      <c r="Q130" s="1318"/>
      <c r="R130" s="1318"/>
      <c r="S130" s="1318"/>
      <c r="T130" s="1318"/>
      <c r="U130" s="1318"/>
      <c r="V130" s="1318"/>
      <c r="W130" s="1318"/>
      <c r="X130" s="1318"/>
      <c r="Y130" s="1318"/>
      <c r="Z130" s="1318"/>
      <c r="AA130" s="1318"/>
      <c r="AB130" s="1318"/>
      <c r="AC130" s="1327"/>
      <c r="AD130" s="416"/>
      <c r="AE130" s="1323" t="s">
        <v>621</v>
      </c>
      <c r="AF130" s="1322"/>
      <c r="AG130" s="416"/>
      <c r="AH130" s="1323" t="s">
        <v>622</v>
      </c>
      <c r="AI130" s="1324"/>
      <c r="AJ130" s="416"/>
      <c r="AK130" s="1323" t="s">
        <v>2666</v>
      </c>
      <c r="AL130" s="1319"/>
    </row>
    <row r="131" spans="2:29" ht="12.75">
      <c r="B131" s="406"/>
      <c r="C131" s="406"/>
      <c r="D131" s="406"/>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row>
    <row r="132" spans="1:38" ht="17.25">
      <c r="A132" s="1325" t="s">
        <v>374</v>
      </c>
      <c r="B132" s="1325"/>
      <c r="C132" s="1325"/>
      <c r="D132" s="1325"/>
      <c r="E132" s="1325"/>
      <c r="F132" s="1325"/>
      <c r="G132" s="1325"/>
      <c r="H132" s="1325"/>
      <c r="I132" s="1325"/>
      <c r="J132" s="1325"/>
      <c r="K132" s="1325"/>
      <c r="L132" s="1325"/>
      <c r="M132" s="1325"/>
      <c r="N132" s="1325"/>
      <c r="O132" s="1325"/>
      <c r="P132" s="1325"/>
      <c r="Q132" s="1325"/>
      <c r="R132" s="1325"/>
      <c r="S132" s="1325"/>
      <c r="T132" s="1325"/>
      <c r="U132" s="1325"/>
      <c r="V132" s="1325"/>
      <c r="W132" s="1325"/>
      <c r="X132" s="1325"/>
      <c r="Y132" s="1325"/>
      <c r="Z132" s="1325"/>
      <c r="AA132" s="1325"/>
      <c r="AB132" s="1325"/>
      <c r="AC132" s="1325"/>
      <c r="AD132" s="1325"/>
      <c r="AE132" s="1325"/>
      <c r="AF132" s="1325"/>
      <c r="AG132" s="1325"/>
      <c r="AH132" s="1325"/>
      <c r="AI132" s="1325"/>
      <c r="AJ132" s="1325"/>
      <c r="AK132" s="1325"/>
      <c r="AL132" s="1325"/>
    </row>
    <row r="133" spans="1:38" ht="12.75">
      <c r="A133" s="425"/>
      <c r="B133" s="425"/>
      <c r="C133" s="425"/>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row>
    <row r="134" spans="1:38" ht="12.75">
      <c r="A134" s="405" t="s">
        <v>618</v>
      </c>
      <c r="B134" s="1318" t="s">
        <v>2140</v>
      </c>
      <c r="C134" s="1318"/>
      <c r="D134" s="1318"/>
      <c r="E134" s="1318"/>
      <c r="F134" s="1318"/>
      <c r="G134" s="1318"/>
      <c r="H134" s="1318"/>
      <c r="I134" s="1318"/>
      <c r="J134" s="1318"/>
      <c r="K134" s="1318"/>
      <c r="L134" s="1318"/>
      <c r="M134" s="1318"/>
      <c r="N134" s="1318"/>
      <c r="O134" s="1318"/>
      <c r="P134" s="1318"/>
      <c r="Q134" s="1318"/>
      <c r="R134" s="1318"/>
      <c r="S134" s="1318"/>
      <c r="T134" s="1318"/>
      <c r="U134" s="1318"/>
      <c r="V134" s="1318"/>
      <c r="W134" s="1318"/>
      <c r="X134" s="1318"/>
      <c r="Y134" s="1318"/>
      <c r="Z134" s="1318"/>
      <c r="AA134" s="1318"/>
      <c r="AB134" s="1318"/>
      <c r="AC134" s="1327"/>
      <c r="AD134" s="416"/>
      <c r="AE134" s="1323" t="s">
        <v>621</v>
      </c>
      <c r="AF134" s="1322"/>
      <c r="AG134" s="416"/>
      <c r="AH134" s="1323" t="s">
        <v>622</v>
      </c>
      <c r="AI134" s="1324"/>
      <c r="AJ134" s="416"/>
      <c r="AK134" s="1323" t="s">
        <v>2666</v>
      </c>
      <c r="AL134" s="1319"/>
    </row>
    <row r="135" spans="1:38" ht="12.75">
      <c r="A135" s="414"/>
      <c r="B135" s="406"/>
      <c r="C135" s="406"/>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22"/>
      <c r="AE135" s="408"/>
      <c r="AF135" s="408"/>
      <c r="AG135" s="422"/>
      <c r="AH135" s="408"/>
      <c r="AI135" s="408"/>
      <c r="AJ135" s="423"/>
      <c r="AK135" s="408"/>
      <c r="AL135" s="408"/>
    </row>
    <row r="136" spans="1:38" ht="12.75">
      <c r="A136" s="405" t="s">
        <v>243</v>
      </c>
      <c r="B136" s="1318" t="s">
        <v>2141</v>
      </c>
      <c r="C136" s="1318"/>
      <c r="D136" s="1318"/>
      <c r="E136" s="1318"/>
      <c r="F136" s="1318"/>
      <c r="G136" s="1318"/>
      <c r="H136" s="1318"/>
      <c r="I136" s="1318"/>
      <c r="J136" s="1318"/>
      <c r="K136" s="1318"/>
      <c r="L136" s="1318"/>
      <c r="M136" s="1318"/>
      <c r="N136" s="1318"/>
      <c r="O136" s="1318"/>
      <c r="P136" s="1318"/>
      <c r="Q136" s="1318"/>
      <c r="R136" s="1318"/>
      <c r="S136" s="1318"/>
      <c r="T136" s="1318"/>
      <c r="U136" s="1318"/>
      <c r="V136" s="1318"/>
      <c r="W136" s="1318"/>
      <c r="X136" s="1318"/>
      <c r="Y136" s="1318"/>
      <c r="Z136" s="1318"/>
      <c r="AA136" s="1318"/>
      <c r="AB136" s="1318"/>
      <c r="AC136" s="1327"/>
      <c r="AD136" s="416"/>
      <c r="AE136" s="1323" t="s">
        <v>621</v>
      </c>
      <c r="AF136" s="1322"/>
      <c r="AG136" s="416"/>
      <c r="AH136" s="1323" t="s">
        <v>622</v>
      </c>
      <c r="AI136" s="1324"/>
      <c r="AJ136" s="416"/>
      <c r="AK136" s="1323" t="s">
        <v>2666</v>
      </c>
      <c r="AL136" s="1319"/>
    </row>
    <row r="137" spans="1:29" ht="12.75">
      <c r="A137" s="414"/>
      <c r="B137" s="406"/>
      <c r="C137" s="406"/>
      <c r="D137" s="406"/>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row>
    <row r="138" spans="1:38" ht="12.75">
      <c r="A138" s="405" t="s">
        <v>245</v>
      </c>
      <c r="B138" s="1318" t="s">
        <v>2142</v>
      </c>
      <c r="C138" s="1318"/>
      <c r="D138" s="1318"/>
      <c r="E138" s="1318"/>
      <c r="F138" s="1318"/>
      <c r="G138" s="1318"/>
      <c r="H138" s="1318"/>
      <c r="I138" s="1318"/>
      <c r="J138" s="1318"/>
      <c r="K138" s="1318"/>
      <c r="L138" s="1318"/>
      <c r="M138" s="1318"/>
      <c r="N138" s="1318"/>
      <c r="O138" s="1318"/>
      <c r="P138" s="1318"/>
      <c r="Q138" s="1318"/>
      <c r="R138" s="1318"/>
      <c r="S138" s="1318"/>
      <c r="T138" s="1318"/>
      <c r="U138" s="1318"/>
      <c r="V138" s="1318"/>
      <c r="W138" s="1318"/>
      <c r="X138" s="1318"/>
      <c r="Y138" s="1318"/>
      <c r="Z138" s="1318"/>
      <c r="AA138" s="1318"/>
      <c r="AB138" s="1318"/>
      <c r="AC138" s="1318"/>
      <c r="AD138" s="416"/>
      <c r="AE138" s="1323" t="s">
        <v>621</v>
      </c>
      <c r="AF138" s="1322"/>
      <c r="AG138" s="416"/>
      <c r="AH138" s="1323" t="s">
        <v>622</v>
      </c>
      <c r="AI138" s="1324"/>
      <c r="AJ138" s="416"/>
      <c r="AK138" s="1323" t="s">
        <v>2666</v>
      </c>
      <c r="AL138" s="1319"/>
    </row>
    <row r="139" spans="1:37" ht="12.75">
      <c r="A139" s="405"/>
      <c r="B139" s="1318"/>
      <c r="C139" s="1318"/>
      <c r="D139" s="1318"/>
      <c r="E139" s="1318"/>
      <c r="F139" s="1318"/>
      <c r="G139" s="1318"/>
      <c r="H139" s="1318"/>
      <c r="I139" s="1318"/>
      <c r="J139" s="1318"/>
      <c r="K139" s="1318"/>
      <c r="L139" s="1318"/>
      <c r="M139" s="1318"/>
      <c r="N139" s="1318"/>
      <c r="O139" s="1318"/>
      <c r="P139" s="1318"/>
      <c r="Q139" s="1318"/>
      <c r="R139" s="1318"/>
      <c r="S139" s="1318"/>
      <c r="T139" s="1318"/>
      <c r="U139" s="1318"/>
      <c r="V139" s="1318"/>
      <c r="W139" s="1318"/>
      <c r="X139" s="1318"/>
      <c r="Y139" s="1318"/>
      <c r="Z139" s="1318"/>
      <c r="AA139" s="1318"/>
      <c r="AB139" s="1318"/>
      <c r="AC139" s="1318"/>
      <c r="AD139" s="419"/>
      <c r="AE139" s="413"/>
      <c r="AF139" s="413"/>
      <c r="AG139" s="419"/>
      <c r="AH139" s="413"/>
      <c r="AI139" s="413"/>
      <c r="AJ139" s="419"/>
      <c r="AK139" s="413"/>
    </row>
    <row r="140" spans="1:38" ht="12.75">
      <c r="A140" s="414"/>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7"/>
      <c r="AD140" s="419"/>
      <c r="AE140" s="413"/>
      <c r="AF140" s="413"/>
      <c r="AG140" s="419"/>
      <c r="AH140" s="413"/>
      <c r="AI140" s="413"/>
      <c r="AJ140" s="419"/>
      <c r="AK140" s="413"/>
      <c r="AL140" s="424"/>
    </row>
    <row r="141" spans="1:38" ht="12.75">
      <c r="A141" s="405" t="s">
        <v>247</v>
      </c>
      <c r="B141" s="1318" t="s">
        <v>2145</v>
      </c>
      <c r="C141" s="1318"/>
      <c r="D141" s="1318"/>
      <c r="E141" s="1318"/>
      <c r="F141" s="1318"/>
      <c r="G141" s="1318"/>
      <c r="H141" s="1318"/>
      <c r="I141" s="1318"/>
      <c r="J141" s="1318"/>
      <c r="K141" s="1318"/>
      <c r="L141" s="1318"/>
      <c r="M141" s="1318"/>
      <c r="N141" s="1318"/>
      <c r="O141" s="1318"/>
      <c r="P141" s="1318"/>
      <c r="Q141" s="1318"/>
      <c r="R141" s="1318"/>
      <c r="S141" s="1318"/>
      <c r="T141" s="1318"/>
      <c r="U141" s="1318"/>
      <c r="V141" s="1318"/>
      <c r="W141" s="1318"/>
      <c r="X141" s="1318"/>
      <c r="Y141" s="1318"/>
      <c r="Z141" s="1318"/>
      <c r="AA141" s="1318"/>
      <c r="AB141" s="1318"/>
      <c r="AC141" s="1318"/>
      <c r="AD141" s="416"/>
      <c r="AE141" s="1323" t="s">
        <v>621</v>
      </c>
      <c r="AF141" s="1322"/>
      <c r="AG141" s="416"/>
      <c r="AH141" s="1323" t="s">
        <v>622</v>
      </c>
      <c r="AI141" s="1324"/>
      <c r="AJ141" s="416"/>
      <c r="AK141" s="1323" t="s">
        <v>2666</v>
      </c>
      <c r="AL141" s="1319"/>
    </row>
    <row r="142" spans="1:37" ht="12.75">
      <c r="A142" s="405"/>
      <c r="B142" s="1318"/>
      <c r="C142" s="1318"/>
      <c r="D142" s="1318"/>
      <c r="E142" s="1318"/>
      <c r="F142" s="1318"/>
      <c r="G142" s="1318"/>
      <c r="H142" s="1318"/>
      <c r="I142" s="1318"/>
      <c r="J142" s="1318"/>
      <c r="K142" s="1318"/>
      <c r="L142" s="1318"/>
      <c r="M142" s="1318"/>
      <c r="N142" s="1318"/>
      <c r="O142" s="1318"/>
      <c r="P142" s="1318"/>
      <c r="Q142" s="1318"/>
      <c r="R142" s="1318"/>
      <c r="S142" s="1318"/>
      <c r="T142" s="1318"/>
      <c r="U142" s="1318"/>
      <c r="V142" s="1318"/>
      <c r="W142" s="1318"/>
      <c r="X142" s="1318"/>
      <c r="Y142" s="1318"/>
      <c r="Z142" s="1318"/>
      <c r="AA142" s="1318"/>
      <c r="AB142" s="1318"/>
      <c r="AC142" s="1318"/>
      <c r="AD142" s="418"/>
      <c r="AE142" s="413"/>
      <c r="AF142" s="413"/>
      <c r="AG142" s="418"/>
      <c r="AH142" s="413"/>
      <c r="AI142" s="413"/>
      <c r="AJ142" s="419"/>
      <c r="AK142" s="57"/>
    </row>
    <row r="143" spans="2:38" ht="12.75">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23"/>
      <c r="AE143" s="408"/>
      <c r="AF143" s="408"/>
      <c r="AG143" s="423"/>
      <c r="AH143" s="408"/>
      <c r="AI143" s="408"/>
      <c r="AJ143" s="423"/>
      <c r="AK143" s="408"/>
      <c r="AL143" s="408"/>
    </row>
    <row r="144" spans="1:38" ht="12.75">
      <c r="A144" s="405" t="s">
        <v>250</v>
      </c>
      <c r="B144" s="1318" t="s">
        <v>2146</v>
      </c>
      <c r="C144" s="1318"/>
      <c r="D144" s="1318"/>
      <c r="E144" s="1318"/>
      <c r="F144" s="1318"/>
      <c r="G144" s="1318"/>
      <c r="H144" s="1318"/>
      <c r="I144" s="1318"/>
      <c r="J144" s="1318"/>
      <c r="K144" s="1318"/>
      <c r="L144" s="1318"/>
      <c r="M144" s="1318"/>
      <c r="N144" s="1318"/>
      <c r="O144" s="1318"/>
      <c r="P144" s="1318"/>
      <c r="Q144" s="1318"/>
      <c r="R144" s="1318"/>
      <c r="S144" s="1318"/>
      <c r="T144" s="1318"/>
      <c r="U144" s="1318"/>
      <c r="V144" s="1318"/>
      <c r="W144" s="1318"/>
      <c r="X144" s="1318"/>
      <c r="Y144" s="1318"/>
      <c r="Z144" s="1318"/>
      <c r="AA144" s="1318"/>
      <c r="AB144" s="1318"/>
      <c r="AC144" s="1318"/>
      <c r="AD144" s="416"/>
      <c r="AE144" s="1323" t="s">
        <v>621</v>
      </c>
      <c r="AF144" s="1322"/>
      <c r="AG144" s="416"/>
      <c r="AH144" s="1323" t="s">
        <v>622</v>
      </c>
      <c r="AI144" s="1324"/>
      <c r="AJ144" s="416"/>
      <c r="AK144" s="1323" t="s">
        <v>2666</v>
      </c>
      <c r="AL144" s="1319"/>
    </row>
    <row r="145" spans="1:37" ht="12.75">
      <c r="A145" s="405"/>
      <c r="B145" s="1318"/>
      <c r="C145" s="1318"/>
      <c r="D145" s="1318"/>
      <c r="E145" s="1318"/>
      <c r="F145" s="1318"/>
      <c r="G145" s="1318"/>
      <c r="H145" s="1318"/>
      <c r="I145" s="1318"/>
      <c r="J145" s="1318"/>
      <c r="K145" s="1318"/>
      <c r="L145" s="1318"/>
      <c r="M145" s="1318"/>
      <c r="N145" s="1318"/>
      <c r="O145" s="1318"/>
      <c r="P145" s="1318"/>
      <c r="Q145" s="1318"/>
      <c r="R145" s="1318"/>
      <c r="S145" s="1318"/>
      <c r="T145" s="1318"/>
      <c r="U145" s="1318"/>
      <c r="V145" s="1318"/>
      <c r="W145" s="1318"/>
      <c r="X145" s="1318"/>
      <c r="Y145" s="1318"/>
      <c r="Z145" s="1318"/>
      <c r="AA145" s="1318"/>
      <c r="AB145" s="1318"/>
      <c r="AC145" s="1318"/>
      <c r="AD145" s="419"/>
      <c r="AE145" s="413"/>
      <c r="AF145" s="413"/>
      <c r="AG145" s="419"/>
      <c r="AH145" s="413"/>
      <c r="AI145" s="413"/>
      <c r="AJ145" s="419"/>
      <c r="AK145" s="413"/>
    </row>
    <row r="146" spans="1:37" ht="12.75">
      <c r="A146" s="405"/>
      <c r="B146" s="406"/>
      <c r="C146" s="406"/>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7"/>
      <c r="AD146" s="419"/>
      <c r="AE146" s="413"/>
      <c r="AF146" s="413"/>
      <c r="AG146" s="419"/>
      <c r="AH146" s="413"/>
      <c r="AI146" s="413"/>
      <c r="AJ146" s="419"/>
      <c r="AK146" s="413"/>
    </row>
    <row r="147" spans="1:38" ht="12.75">
      <c r="A147" s="405" t="s">
        <v>252</v>
      </c>
      <c r="B147" s="1318" t="s">
        <v>2147</v>
      </c>
      <c r="C147" s="1318"/>
      <c r="D147" s="1318"/>
      <c r="E147" s="1318"/>
      <c r="F147" s="1318"/>
      <c r="G147" s="1318"/>
      <c r="H147" s="1318"/>
      <c r="I147" s="1318"/>
      <c r="J147" s="1318"/>
      <c r="K147" s="1318"/>
      <c r="L147" s="1318"/>
      <c r="M147" s="1318"/>
      <c r="N147" s="1318"/>
      <c r="O147" s="1318"/>
      <c r="P147" s="1318"/>
      <c r="Q147" s="1318"/>
      <c r="R147" s="1318"/>
      <c r="S147" s="1318"/>
      <c r="T147" s="1318"/>
      <c r="U147" s="1318"/>
      <c r="V147" s="1318"/>
      <c r="W147" s="1318"/>
      <c r="X147" s="1318"/>
      <c r="Y147" s="1318"/>
      <c r="Z147" s="1318"/>
      <c r="AA147" s="1318"/>
      <c r="AB147" s="1318"/>
      <c r="AC147" s="1327"/>
      <c r="AD147" s="416"/>
      <c r="AE147" s="1323" t="s">
        <v>621</v>
      </c>
      <c r="AF147" s="1322"/>
      <c r="AG147" s="416"/>
      <c r="AH147" s="1323" t="s">
        <v>622</v>
      </c>
      <c r="AI147" s="1324"/>
      <c r="AJ147" s="416"/>
      <c r="AK147" s="1323" t="s">
        <v>2666</v>
      </c>
      <c r="AL147" s="1319"/>
    </row>
    <row r="148" spans="1:38" ht="12.75">
      <c r="A148" s="414"/>
      <c r="B148" s="406"/>
      <c r="C148" s="406"/>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22"/>
      <c r="AE148" s="408"/>
      <c r="AF148" s="408"/>
      <c r="AG148" s="422"/>
      <c r="AH148" s="408"/>
      <c r="AI148" s="408"/>
      <c r="AJ148" s="423"/>
      <c r="AK148" s="408"/>
      <c r="AL148" s="408"/>
    </row>
    <row r="149" spans="1:38" ht="12.75">
      <c r="A149" s="405" t="s">
        <v>254</v>
      </c>
      <c r="B149" s="1318" t="s">
        <v>2137</v>
      </c>
      <c r="C149" s="1318"/>
      <c r="D149" s="1318"/>
      <c r="E149" s="1318"/>
      <c r="F149" s="1318"/>
      <c r="G149" s="1318"/>
      <c r="H149" s="1318"/>
      <c r="I149" s="1318"/>
      <c r="J149" s="1318"/>
      <c r="K149" s="1318"/>
      <c r="L149" s="1318"/>
      <c r="M149" s="1318"/>
      <c r="N149" s="1318"/>
      <c r="O149" s="1318"/>
      <c r="P149" s="1318"/>
      <c r="Q149" s="1318"/>
      <c r="R149" s="1318"/>
      <c r="S149" s="1318"/>
      <c r="T149" s="1318"/>
      <c r="U149" s="1318"/>
      <c r="V149" s="1318"/>
      <c r="W149" s="1318"/>
      <c r="X149" s="1318"/>
      <c r="Y149" s="1318"/>
      <c r="Z149" s="1318"/>
      <c r="AA149" s="1318"/>
      <c r="AB149" s="1318"/>
      <c r="AC149" s="1327"/>
      <c r="AD149" s="416"/>
      <c r="AE149" s="1323" t="s">
        <v>621</v>
      </c>
      <c r="AF149" s="1322"/>
      <c r="AG149" s="416"/>
      <c r="AH149" s="1323" t="s">
        <v>622</v>
      </c>
      <c r="AI149" s="1324"/>
      <c r="AJ149" s="416"/>
      <c r="AK149" s="1323" t="s">
        <v>2666</v>
      </c>
      <c r="AL149" s="1319"/>
    </row>
    <row r="150" spans="1:29" ht="12.75">
      <c r="A150" s="414"/>
      <c r="B150" s="406"/>
      <c r="C150" s="406"/>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row>
    <row r="151" spans="1:38" ht="17.25">
      <c r="A151" s="1325" t="s">
        <v>3337</v>
      </c>
      <c r="B151" s="1325"/>
      <c r="C151" s="1325"/>
      <c r="D151" s="1325"/>
      <c r="E151" s="1325"/>
      <c r="F151" s="1325"/>
      <c r="G151" s="1325"/>
      <c r="H151" s="1325"/>
      <c r="I151" s="1325"/>
      <c r="J151" s="1325"/>
      <c r="K151" s="1325"/>
      <c r="L151" s="1325"/>
      <c r="M151" s="1325"/>
      <c r="N151" s="1325"/>
      <c r="O151" s="1325"/>
      <c r="P151" s="1325"/>
      <c r="Q151" s="1325"/>
      <c r="R151" s="1325"/>
      <c r="S151" s="1325"/>
      <c r="T151" s="1325"/>
      <c r="U151" s="1325"/>
      <c r="V151" s="1325"/>
      <c r="W151" s="1325"/>
      <c r="X151" s="1325"/>
      <c r="Y151" s="1325"/>
      <c r="Z151" s="1325"/>
      <c r="AA151" s="1325"/>
      <c r="AB151" s="1325"/>
      <c r="AC151" s="1325"/>
      <c r="AD151" s="1325"/>
      <c r="AE151" s="1325"/>
      <c r="AF151" s="1325"/>
      <c r="AG151" s="1325"/>
      <c r="AH151" s="1325"/>
      <c r="AI151" s="1325"/>
      <c r="AJ151" s="1325"/>
      <c r="AK151" s="1325"/>
      <c r="AL151" s="1325"/>
    </row>
    <row r="152" spans="1:38" ht="12.75">
      <c r="A152" s="425"/>
      <c r="B152" s="425"/>
      <c r="C152" s="425"/>
      <c r="D152" s="425"/>
      <c r="E152" s="425"/>
      <c r="F152" s="425"/>
      <c r="G152" s="425"/>
      <c r="H152" s="425"/>
      <c r="I152" s="425"/>
      <c r="J152" s="425"/>
      <c r="K152" s="425"/>
      <c r="L152" s="425"/>
      <c r="M152" s="425"/>
      <c r="N152" s="425"/>
      <c r="O152" s="425"/>
      <c r="P152" s="425"/>
      <c r="Q152" s="425"/>
      <c r="R152" s="425"/>
      <c r="S152" s="425"/>
      <c r="T152" s="425"/>
      <c r="U152" s="425"/>
      <c r="V152" s="425"/>
      <c r="W152" s="425"/>
      <c r="X152" s="425"/>
      <c r="Y152" s="425"/>
      <c r="Z152" s="425"/>
      <c r="AA152" s="425"/>
      <c r="AB152" s="425"/>
      <c r="AC152" s="425"/>
      <c r="AD152" s="425"/>
      <c r="AE152" s="425"/>
      <c r="AF152" s="425"/>
      <c r="AG152" s="425"/>
      <c r="AH152" s="425"/>
      <c r="AI152" s="425"/>
      <c r="AJ152" s="425"/>
      <c r="AK152" s="425"/>
      <c r="AL152" s="425"/>
    </row>
    <row r="153" spans="1:38" ht="12.75">
      <c r="A153" s="405" t="s">
        <v>618</v>
      </c>
      <c r="B153" s="1318" t="s">
        <v>3338</v>
      </c>
      <c r="C153" s="1318"/>
      <c r="D153" s="1318"/>
      <c r="E153" s="1318"/>
      <c r="F153" s="1318"/>
      <c r="G153" s="1318"/>
      <c r="H153" s="1318"/>
      <c r="I153" s="1318"/>
      <c r="J153" s="1318"/>
      <c r="K153" s="1318"/>
      <c r="L153" s="1318"/>
      <c r="M153" s="1318"/>
      <c r="N153" s="1318"/>
      <c r="O153" s="1318"/>
      <c r="P153" s="1318"/>
      <c r="Q153" s="1318"/>
      <c r="R153" s="1318"/>
      <c r="S153" s="1318"/>
      <c r="T153" s="1318"/>
      <c r="U153" s="1318"/>
      <c r="V153" s="1318"/>
      <c r="W153" s="1318"/>
      <c r="X153" s="1318"/>
      <c r="Y153" s="1318"/>
      <c r="Z153" s="1318"/>
      <c r="AA153" s="1318"/>
      <c r="AB153" s="1318"/>
      <c r="AC153" s="1327"/>
      <c r="AD153" s="416"/>
      <c r="AE153" s="1323" t="s">
        <v>621</v>
      </c>
      <c r="AF153" s="1322"/>
      <c r="AG153" s="416"/>
      <c r="AH153" s="1323" t="s">
        <v>622</v>
      </c>
      <c r="AI153" s="1324"/>
      <c r="AJ153" s="416"/>
      <c r="AK153" s="1323" t="s">
        <v>2666</v>
      </c>
      <c r="AL153" s="1319"/>
    </row>
    <row r="154" spans="1:38" ht="12.75">
      <c r="A154" s="414"/>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22"/>
      <c r="AE154" s="408"/>
      <c r="AF154" s="408"/>
      <c r="AG154" s="422"/>
      <c r="AH154" s="408"/>
      <c r="AI154" s="408"/>
      <c r="AJ154" s="423"/>
      <c r="AK154" s="408"/>
      <c r="AL154" s="408"/>
    </row>
    <row r="155" spans="1:38" ht="12.75">
      <c r="A155" s="405" t="s">
        <v>243</v>
      </c>
      <c r="B155" s="1318" t="s">
        <v>3339</v>
      </c>
      <c r="C155" s="1318"/>
      <c r="D155" s="1318"/>
      <c r="E155" s="1318"/>
      <c r="F155" s="1318"/>
      <c r="G155" s="1318"/>
      <c r="H155" s="1318"/>
      <c r="I155" s="1318"/>
      <c r="J155" s="1318"/>
      <c r="K155" s="1318"/>
      <c r="L155" s="1318"/>
      <c r="M155" s="1318"/>
      <c r="N155" s="1318"/>
      <c r="O155" s="1318"/>
      <c r="P155" s="1318"/>
      <c r="Q155" s="1318"/>
      <c r="R155" s="1318"/>
      <c r="S155" s="1318"/>
      <c r="T155" s="1318"/>
      <c r="U155" s="1318"/>
      <c r="V155" s="1318"/>
      <c r="W155" s="1318"/>
      <c r="X155" s="1318"/>
      <c r="Y155" s="1318"/>
      <c r="Z155" s="1318"/>
      <c r="AA155" s="1318"/>
      <c r="AB155" s="1318"/>
      <c r="AC155" s="1318"/>
      <c r="AD155" s="416"/>
      <c r="AE155" s="1323" t="s">
        <v>621</v>
      </c>
      <c r="AF155" s="1322"/>
      <c r="AG155" s="416"/>
      <c r="AH155" s="1323" t="s">
        <v>622</v>
      </c>
      <c r="AI155" s="1324"/>
      <c r="AJ155" s="416"/>
      <c r="AK155" s="1323" t="s">
        <v>2666</v>
      </c>
      <c r="AL155" s="1319"/>
    </row>
    <row r="156" spans="1:38" ht="12.75">
      <c r="A156" s="405"/>
      <c r="B156" s="1318"/>
      <c r="C156" s="1318"/>
      <c r="D156" s="1318"/>
      <c r="E156" s="1318"/>
      <c r="F156" s="1318"/>
      <c r="G156" s="1318"/>
      <c r="H156" s="1318"/>
      <c r="I156" s="1318"/>
      <c r="J156" s="1318"/>
      <c r="K156" s="1318"/>
      <c r="L156" s="1318"/>
      <c r="M156" s="1318"/>
      <c r="N156" s="1318"/>
      <c r="O156" s="1318"/>
      <c r="P156" s="1318"/>
      <c r="Q156" s="1318"/>
      <c r="R156" s="1318"/>
      <c r="S156" s="1318"/>
      <c r="T156" s="1318"/>
      <c r="U156" s="1318"/>
      <c r="V156" s="1318"/>
      <c r="W156" s="1318"/>
      <c r="X156" s="1318"/>
      <c r="Y156" s="1318"/>
      <c r="Z156" s="1318"/>
      <c r="AA156" s="1318"/>
      <c r="AB156" s="1318"/>
      <c r="AC156" s="1318"/>
      <c r="AD156" s="419"/>
      <c r="AE156" s="413"/>
      <c r="AF156" s="413"/>
      <c r="AG156" s="419"/>
      <c r="AH156" s="413"/>
      <c r="AI156" s="413"/>
      <c r="AJ156" s="419"/>
      <c r="AK156" s="413"/>
      <c r="AL156" s="424"/>
    </row>
    <row r="157" spans="1:29" ht="12.75">
      <c r="A157" s="414"/>
      <c r="B157" s="406"/>
      <c r="C157" s="406"/>
      <c r="D157" s="406"/>
      <c r="E157" s="406"/>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row>
    <row r="158" spans="1:38" ht="12.75">
      <c r="A158" s="405" t="s">
        <v>245</v>
      </c>
      <c r="B158" s="1318" t="s">
        <v>3340</v>
      </c>
      <c r="C158" s="1318"/>
      <c r="D158" s="1318"/>
      <c r="E158" s="1318"/>
      <c r="F158" s="1318"/>
      <c r="G158" s="1318"/>
      <c r="H158" s="1318"/>
      <c r="I158" s="1318"/>
      <c r="J158" s="1318"/>
      <c r="K158" s="1318"/>
      <c r="L158" s="1318"/>
      <c r="M158" s="1318"/>
      <c r="N158" s="1318"/>
      <c r="O158" s="1318"/>
      <c r="P158" s="1318"/>
      <c r="Q158" s="1318"/>
      <c r="R158" s="1318"/>
      <c r="S158" s="1318"/>
      <c r="T158" s="1318"/>
      <c r="U158" s="1318"/>
      <c r="V158" s="1318"/>
      <c r="W158" s="1318"/>
      <c r="X158" s="1318"/>
      <c r="Y158" s="1318"/>
      <c r="Z158" s="1318"/>
      <c r="AA158" s="1318"/>
      <c r="AB158" s="1318"/>
      <c r="AC158" s="1327"/>
      <c r="AD158" s="416"/>
      <c r="AE158" s="1323" t="s">
        <v>621</v>
      </c>
      <c r="AF158" s="1322"/>
      <c r="AG158" s="416"/>
      <c r="AH158" s="1323" t="s">
        <v>622</v>
      </c>
      <c r="AI158" s="1324"/>
      <c r="AJ158" s="416"/>
      <c r="AK158" s="1323" t="s">
        <v>2666</v>
      </c>
      <c r="AL158" s="1319"/>
    </row>
    <row r="159" spans="1:38" ht="12.75">
      <c r="A159" s="405"/>
      <c r="B159" s="1318" t="s">
        <v>3341</v>
      </c>
      <c r="C159" s="1318"/>
      <c r="D159" s="1318"/>
      <c r="E159" s="1318"/>
      <c r="F159" s="1318"/>
      <c r="G159" s="1318"/>
      <c r="H159" s="1318"/>
      <c r="I159" s="1318"/>
      <c r="J159" s="1318"/>
      <c r="K159" s="1318"/>
      <c r="L159" s="1318"/>
      <c r="M159" s="1318"/>
      <c r="N159" s="1318"/>
      <c r="O159" s="1318"/>
      <c r="P159" s="1318"/>
      <c r="Q159" s="1318"/>
      <c r="R159" s="1318"/>
      <c r="S159" s="1318"/>
      <c r="T159" s="1318"/>
      <c r="U159" s="1318"/>
      <c r="V159" s="1318"/>
      <c r="W159" s="1318"/>
      <c r="X159" s="1318"/>
      <c r="Y159" s="1318"/>
      <c r="Z159" s="1318"/>
      <c r="AA159" s="1318"/>
      <c r="AB159" s="1318"/>
      <c r="AC159" s="1327"/>
      <c r="AD159" s="416"/>
      <c r="AE159" s="1323" t="s">
        <v>621</v>
      </c>
      <c r="AF159" s="1322"/>
      <c r="AG159" s="416"/>
      <c r="AH159" s="1323" t="s">
        <v>622</v>
      </c>
      <c r="AI159" s="1324"/>
      <c r="AJ159" s="416"/>
      <c r="AK159" s="1323" t="s">
        <v>2666</v>
      </c>
      <c r="AL159" s="1319"/>
    </row>
    <row r="160" spans="1:38" ht="12.75">
      <c r="A160" s="414"/>
      <c r="B160" s="406"/>
      <c r="C160" s="406"/>
      <c r="D160" s="406"/>
      <c r="E160" s="406"/>
      <c r="F160" s="406"/>
      <c r="G160" s="406"/>
      <c r="H160" s="406"/>
      <c r="I160" s="406"/>
      <c r="J160" s="406"/>
      <c r="K160" s="406"/>
      <c r="L160" s="406"/>
      <c r="M160" s="406"/>
      <c r="N160" s="406"/>
      <c r="O160" s="406"/>
      <c r="P160" s="406"/>
      <c r="Q160" s="406"/>
      <c r="R160" s="406"/>
      <c r="S160" s="406"/>
      <c r="T160" s="406"/>
      <c r="U160" s="406"/>
      <c r="V160" s="406"/>
      <c r="W160" s="406"/>
      <c r="X160" s="406"/>
      <c r="Y160" s="406"/>
      <c r="Z160" s="406"/>
      <c r="AA160" s="406"/>
      <c r="AB160" s="406"/>
      <c r="AC160" s="407"/>
      <c r="AD160" s="419"/>
      <c r="AE160" s="413"/>
      <c r="AF160" s="413"/>
      <c r="AG160" s="419"/>
      <c r="AH160" s="413"/>
      <c r="AI160" s="413"/>
      <c r="AJ160" s="419"/>
      <c r="AK160" s="413"/>
      <c r="AL160" s="424"/>
    </row>
    <row r="161" spans="1:38" ht="12.75">
      <c r="A161" s="405" t="s">
        <v>247</v>
      </c>
      <c r="B161" s="1318" t="s">
        <v>3342</v>
      </c>
      <c r="C161" s="1318"/>
      <c r="D161" s="1318"/>
      <c r="E161" s="1318"/>
      <c r="F161" s="1318"/>
      <c r="G161" s="1318"/>
      <c r="H161" s="1318"/>
      <c r="I161" s="1318"/>
      <c r="J161" s="1318"/>
      <c r="K161" s="1318"/>
      <c r="L161" s="1318"/>
      <c r="M161" s="1318"/>
      <c r="N161" s="1318"/>
      <c r="O161" s="1318"/>
      <c r="P161" s="1318"/>
      <c r="Q161" s="1318"/>
      <c r="R161" s="1318"/>
      <c r="S161" s="1318"/>
      <c r="T161" s="1318"/>
      <c r="U161" s="1318"/>
      <c r="V161" s="1318"/>
      <c r="W161" s="1318"/>
      <c r="X161" s="1318"/>
      <c r="Y161" s="1318"/>
      <c r="Z161" s="1318"/>
      <c r="AA161" s="1318"/>
      <c r="AB161" s="1318"/>
      <c r="AC161" s="1327"/>
      <c r="AD161" s="416"/>
      <c r="AE161" s="1323" t="s">
        <v>621</v>
      </c>
      <c r="AF161" s="1322"/>
      <c r="AG161" s="416"/>
      <c r="AH161" s="1323" t="s">
        <v>622</v>
      </c>
      <c r="AI161" s="1324"/>
      <c r="AJ161" s="416"/>
      <c r="AK161" s="1323" t="s">
        <v>2666</v>
      </c>
      <c r="AL161" s="1319"/>
    </row>
    <row r="162" spans="2:38" ht="12.75">
      <c r="B162" s="406"/>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22"/>
      <c r="AE162" s="408"/>
      <c r="AF162" s="408"/>
      <c r="AG162" s="422"/>
      <c r="AH162" s="408"/>
      <c r="AI162" s="408"/>
      <c r="AJ162" s="423"/>
      <c r="AK162" s="408"/>
      <c r="AL162" s="408"/>
    </row>
    <row r="163" spans="1:38" ht="12.75">
      <c r="A163" s="405" t="s">
        <v>250</v>
      </c>
      <c r="B163" s="1318" t="s">
        <v>3343</v>
      </c>
      <c r="C163" s="1318"/>
      <c r="D163" s="1318"/>
      <c r="E163" s="1318"/>
      <c r="F163" s="1318"/>
      <c r="G163" s="1318"/>
      <c r="H163" s="1318"/>
      <c r="I163" s="1318"/>
      <c r="J163" s="1318"/>
      <c r="K163" s="1318"/>
      <c r="L163" s="1318"/>
      <c r="M163" s="1318"/>
      <c r="N163" s="1318"/>
      <c r="O163" s="1318"/>
      <c r="P163" s="1318"/>
      <c r="Q163" s="1318"/>
      <c r="R163" s="1318"/>
      <c r="S163" s="1318"/>
      <c r="T163" s="1318"/>
      <c r="U163" s="1318"/>
      <c r="V163" s="1318"/>
      <c r="W163" s="1318"/>
      <c r="X163" s="1318"/>
      <c r="Y163" s="1318"/>
      <c r="Z163" s="1318"/>
      <c r="AA163" s="1318"/>
      <c r="AB163" s="1318"/>
      <c r="AC163" s="1318"/>
      <c r="AD163" s="416"/>
      <c r="AE163" s="1323" t="s">
        <v>621</v>
      </c>
      <c r="AF163" s="1322"/>
      <c r="AG163" s="416"/>
      <c r="AH163" s="1323" t="s">
        <v>622</v>
      </c>
      <c r="AI163" s="1324"/>
      <c r="AJ163" s="416"/>
      <c r="AK163" s="1323" t="s">
        <v>2666</v>
      </c>
      <c r="AL163" s="1319"/>
    </row>
    <row r="164" spans="2:29" ht="12.75">
      <c r="B164" s="1318"/>
      <c r="C164" s="1318"/>
      <c r="D164" s="1318"/>
      <c r="E164" s="1318"/>
      <c r="F164" s="1318"/>
      <c r="G164" s="1318"/>
      <c r="H164" s="1318"/>
      <c r="I164" s="1318"/>
      <c r="J164" s="1318"/>
      <c r="K164" s="1318"/>
      <c r="L164" s="1318"/>
      <c r="M164" s="1318"/>
      <c r="N164" s="1318"/>
      <c r="O164" s="1318"/>
      <c r="P164" s="1318"/>
      <c r="Q164" s="1318"/>
      <c r="R164" s="1318"/>
      <c r="S164" s="1318"/>
      <c r="T164" s="1318"/>
      <c r="U164" s="1318"/>
      <c r="V164" s="1318"/>
      <c r="W164" s="1318"/>
      <c r="X164" s="1318"/>
      <c r="Y164" s="1318"/>
      <c r="Z164" s="1318"/>
      <c r="AA164" s="1318"/>
      <c r="AB164" s="1318"/>
      <c r="AC164" s="1318"/>
    </row>
    <row r="166" spans="1:38" ht="12.75">
      <c r="A166" s="405" t="s">
        <v>252</v>
      </c>
      <c r="B166" s="1318" t="s">
        <v>3344</v>
      </c>
      <c r="C166" s="1318"/>
      <c r="D166" s="1318"/>
      <c r="E166" s="1318"/>
      <c r="F166" s="1318"/>
      <c r="G166" s="1318"/>
      <c r="H166" s="1318"/>
      <c r="I166" s="1318"/>
      <c r="J166" s="1318"/>
      <c r="K166" s="1318"/>
      <c r="L166" s="1318"/>
      <c r="M166" s="1318"/>
      <c r="N166" s="1318"/>
      <c r="O166" s="1318"/>
      <c r="P166" s="1318"/>
      <c r="Q166" s="1318"/>
      <c r="R166" s="1318"/>
      <c r="S166" s="1318"/>
      <c r="T166" s="1318"/>
      <c r="U166" s="1318"/>
      <c r="V166" s="1318"/>
      <c r="W166" s="1318"/>
      <c r="X166" s="1318"/>
      <c r="Y166" s="1318"/>
      <c r="Z166" s="1318"/>
      <c r="AA166" s="1318"/>
      <c r="AB166" s="1318"/>
      <c r="AC166" s="1327"/>
      <c r="AD166" s="416"/>
      <c r="AE166" s="1323" t="s">
        <v>621</v>
      </c>
      <c r="AF166" s="1322"/>
      <c r="AG166" s="416"/>
      <c r="AH166" s="1323" t="s">
        <v>622</v>
      </c>
      <c r="AI166" s="1324"/>
      <c r="AJ166" s="416"/>
      <c r="AK166" s="1323" t="s">
        <v>2666</v>
      </c>
      <c r="AL166" s="1319"/>
    </row>
    <row r="167" spans="2:38" ht="12.75">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22"/>
      <c r="AE167" s="408"/>
      <c r="AF167" s="408"/>
      <c r="AG167" s="422"/>
      <c r="AH167" s="408"/>
      <c r="AI167" s="408"/>
      <c r="AJ167" s="423"/>
      <c r="AK167" s="408"/>
      <c r="AL167" s="408"/>
    </row>
    <row r="168" spans="1:38" ht="12.75">
      <c r="A168" s="405" t="s">
        <v>254</v>
      </c>
      <c r="B168" s="1318" t="s">
        <v>3345</v>
      </c>
      <c r="C168" s="1318"/>
      <c r="D168" s="1318"/>
      <c r="E168" s="1318"/>
      <c r="F168" s="1318"/>
      <c r="G168" s="1318"/>
      <c r="H168" s="1318"/>
      <c r="I168" s="1318"/>
      <c r="J168" s="1318"/>
      <c r="K168" s="1318"/>
      <c r="L168" s="1318"/>
      <c r="M168" s="1318"/>
      <c r="N168" s="1318"/>
      <c r="O168" s="1318"/>
      <c r="P168" s="1318"/>
      <c r="Q168" s="1318"/>
      <c r="R168" s="1318"/>
      <c r="S168" s="1318"/>
      <c r="T168" s="1318"/>
      <c r="U168" s="1318"/>
      <c r="V168" s="1318"/>
      <c r="W168" s="1318"/>
      <c r="X168" s="1318"/>
      <c r="Y168" s="1318"/>
      <c r="Z168" s="1318"/>
      <c r="AA168" s="1318"/>
      <c r="AB168" s="1318"/>
      <c r="AC168" s="1318"/>
      <c r="AD168" s="416"/>
      <c r="AE168" s="1323" t="s">
        <v>621</v>
      </c>
      <c r="AF168" s="1322"/>
      <c r="AG168" s="416"/>
      <c r="AH168" s="1323" t="s">
        <v>622</v>
      </c>
      <c r="AI168" s="1324"/>
      <c r="AJ168" s="416"/>
      <c r="AK168" s="1323" t="s">
        <v>2666</v>
      </c>
      <c r="AL168" s="1319"/>
    </row>
    <row r="169" spans="2:29" ht="12.75">
      <c r="B169" s="406"/>
      <c r="C169" s="406"/>
      <c r="D169" s="406"/>
      <c r="E169" s="406"/>
      <c r="F169" s="406"/>
      <c r="G169" s="406"/>
      <c r="H169" s="406"/>
      <c r="I169" s="406"/>
      <c r="J169" s="406"/>
      <c r="K169" s="406"/>
      <c r="L169" s="406"/>
      <c r="M169" s="406"/>
      <c r="N169" s="406"/>
      <c r="O169" s="406"/>
      <c r="P169" s="406"/>
      <c r="Q169" s="406"/>
      <c r="R169" s="406"/>
      <c r="S169" s="406"/>
      <c r="T169" s="406"/>
      <c r="U169" s="406"/>
      <c r="V169" s="406"/>
      <c r="W169" s="406"/>
      <c r="X169" s="406"/>
      <c r="Y169" s="406"/>
      <c r="Z169" s="406"/>
      <c r="AA169" s="406"/>
      <c r="AB169" s="406"/>
      <c r="AC169" s="406"/>
    </row>
    <row r="170" spans="1:38" ht="12.75">
      <c r="A170" s="405" t="s">
        <v>256</v>
      </c>
      <c r="B170" s="1318" t="s">
        <v>3346</v>
      </c>
      <c r="C170" s="1318"/>
      <c r="D170" s="1318"/>
      <c r="E170" s="1318"/>
      <c r="F170" s="1318"/>
      <c r="G170" s="1318"/>
      <c r="H170" s="1318"/>
      <c r="I170" s="1318"/>
      <c r="J170" s="1318"/>
      <c r="K170" s="1318"/>
      <c r="L170" s="1318"/>
      <c r="M170" s="1318"/>
      <c r="N170" s="1318"/>
      <c r="O170" s="1318"/>
      <c r="P170" s="1318"/>
      <c r="Q170" s="1318"/>
      <c r="R170" s="1318"/>
      <c r="S170" s="1318"/>
      <c r="T170" s="1318"/>
      <c r="U170" s="1318"/>
      <c r="V170" s="1318"/>
      <c r="W170" s="1318"/>
      <c r="X170" s="1318"/>
      <c r="Y170" s="1318"/>
      <c r="Z170" s="1318"/>
      <c r="AA170" s="1318"/>
      <c r="AB170" s="1318"/>
      <c r="AC170" s="1327"/>
      <c r="AD170" s="416"/>
      <c r="AE170" s="1323" t="s">
        <v>621</v>
      </c>
      <c r="AF170" s="1322"/>
      <c r="AG170" s="416"/>
      <c r="AH170" s="1323" t="s">
        <v>622</v>
      </c>
      <c r="AI170" s="1324"/>
      <c r="AJ170" s="416"/>
      <c r="AK170" s="1323" t="s">
        <v>2666</v>
      </c>
      <c r="AL170" s="1319"/>
    </row>
    <row r="171" spans="1:38" ht="12.75">
      <c r="A171" s="405"/>
      <c r="B171" s="1318" t="s">
        <v>434</v>
      </c>
      <c r="C171" s="1318"/>
      <c r="D171" s="1318"/>
      <c r="E171" s="1318"/>
      <c r="F171" s="1318"/>
      <c r="G171" s="1318"/>
      <c r="H171" s="1318"/>
      <c r="I171" s="1318"/>
      <c r="J171" s="1318"/>
      <c r="K171" s="1318"/>
      <c r="L171" s="1318"/>
      <c r="M171" s="1318"/>
      <c r="N171" s="1318"/>
      <c r="O171" s="1318"/>
      <c r="P171" s="1318"/>
      <c r="Q171" s="1318"/>
      <c r="R171" s="1318"/>
      <c r="S171" s="1318"/>
      <c r="T171" s="1318"/>
      <c r="U171" s="1318"/>
      <c r="V171" s="1318"/>
      <c r="W171" s="1318"/>
      <c r="X171" s="1318"/>
      <c r="Y171" s="1318"/>
      <c r="Z171" s="1318"/>
      <c r="AA171" s="1318"/>
      <c r="AB171" s="1318"/>
      <c r="AC171" s="1318"/>
      <c r="AD171" s="416"/>
      <c r="AE171" s="1323" t="s">
        <v>621</v>
      </c>
      <c r="AF171" s="1322"/>
      <c r="AG171" s="416"/>
      <c r="AH171" s="1323" t="s">
        <v>622</v>
      </c>
      <c r="AI171" s="1324"/>
      <c r="AJ171" s="416"/>
      <c r="AK171" s="1323" t="s">
        <v>2666</v>
      </c>
      <c r="AL171" s="1319"/>
    </row>
    <row r="172" spans="2:29" ht="12.75">
      <c r="B172" s="1318"/>
      <c r="C172" s="1318"/>
      <c r="D172" s="1318"/>
      <c r="E172" s="1318"/>
      <c r="F172" s="1318"/>
      <c r="G172" s="1318"/>
      <c r="H172" s="1318"/>
      <c r="I172" s="1318"/>
      <c r="J172" s="1318"/>
      <c r="K172" s="1318"/>
      <c r="L172" s="1318"/>
      <c r="M172" s="1318"/>
      <c r="N172" s="1318"/>
      <c r="O172" s="1318"/>
      <c r="P172" s="1318"/>
      <c r="Q172" s="1318"/>
      <c r="R172" s="1318"/>
      <c r="S172" s="1318"/>
      <c r="T172" s="1318"/>
      <c r="U172" s="1318"/>
      <c r="V172" s="1318"/>
      <c r="W172" s="1318"/>
      <c r="X172" s="1318"/>
      <c r="Y172" s="1318"/>
      <c r="Z172" s="1318"/>
      <c r="AA172" s="1318"/>
      <c r="AB172" s="1318"/>
      <c r="AC172" s="1318"/>
    </row>
    <row r="173" spans="2:38" ht="12.75">
      <c r="B173" s="1318" t="s">
        <v>3347</v>
      </c>
      <c r="C173" s="1318"/>
      <c r="D173" s="1318"/>
      <c r="E173" s="1318"/>
      <c r="F173" s="1318"/>
      <c r="G173" s="1318"/>
      <c r="H173" s="1318"/>
      <c r="I173" s="1318"/>
      <c r="J173" s="1318"/>
      <c r="K173" s="1318"/>
      <c r="L173" s="1318"/>
      <c r="M173" s="1318"/>
      <c r="N173" s="1318"/>
      <c r="O173" s="1318"/>
      <c r="P173" s="1318"/>
      <c r="Q173" s="1318"/>
      <c r="R173" s="1318"/>
      <c r="S173" s="1318"/>
      <c r="T173" s="1318"/>
      <c r="U173" s="1318"/>
      <c r="V173" s="1318"/>
      <c r="W173" s="1318"/>
      <c r="X173" s="1318"/>
      <c r="Y173" s="1318"/>
      <c r="Z173" s="1318"/>
      <c r="AA173" s="1318"/>
      <c r="AB173" s="1318"/>
      <c r="AC173" s="1327"/>
      <c r="AD173" s="416"/>
      <c r="AE173" s="1323" t="s">
        <v>621</v>
      </c>
      <c r="AF173" s="1322"/>
      <c r="AG173" s="416"/>
      <c r="AH173" s="1323" t="s">
        <v>622</v>
      </c>
      <c r="AI173" s="1324"/>
      <c r="AJ173" s="416"/>
      <c r="AK173" s="1323" t="s">
        <v>2666</v>
      </c>
      <c r="AL173" s="1319"/>
    </row>
    <row r="174" spans="2:38" ht="12.75">
      <c r="B174" s="406"/>
      <c r="C174" s="406"/>
      <c r="D174" s="406"/>
      <c r="E174" s="406"/>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7"/>
      <c r="AD174" s="419"/>
      <c r="AE174" s="413"/>
      <c r="AF174" s="413"/>
      <c r="AG174" s="419"/>
      <c r="AH174" s="413"/>
      <c r="AI174" s="413"/>
      <c r="AJ174" s="419"/>
      <c r="AK174" s="413"/>
      <c r="AL174" s="424"/>
    </row>
    <row r="175" spans="1:38" ht="12.75">
      <c r="A175" s="405" t="s">
        <v>258</v>
      </c>
      <c r="B175" s="1318" t="s">
        <v>3348</v>
      </c>
      <c r="C175" s="1318"/>
      <c r="D175" s="1318"/>
      <c r="E175" s="1318"/>
      <c r="F175" s="1318"/>
      <c r="G175" s="1318"/>
      <c r="H175" s="1318"/>
      <c r="I175" s="1318"/>
      <c r="J175" s="1318"/>
      <c r="K175" s="1318"/>
      <c r="L175" s="1318"/>
      <c r="M175" s="1318"/>
      <c r="N175" s="1318"/>
      <c r="O175" s="1318"/>
      <c r="P175" s="1318"/>
      <c r="Q175" s="1318"/>
      <c r="R175" s="1318"/>
      <c r="S175" s="1318"/>
      <c r="T175" s="1318"/>
      <c r="U175" s="1318"/>
      <c r="V175" s="1318"/>
      <c r="W175" s="1318"/>
      <c r="X175" s="1318"/>
      <c r="Y175" s="1318"/>
      <c r="Z175" s="1318"/>
      <c r="AA175" s="1318"/>
      <c r="AB175" s="1318"/>
      <c r="AC175" s="1327"/>
      <c r="AD175" s="416"/>
      <c r="AE175" s="1323" t="s">
        <v>621</v>
      </c>
      <c r="AF175" s="1322"/>
      <c r="AG175" s="416"/>
      <c r="AH175" s="1323" t="s">
        <v>622</v>
      </c>
      <c r="AI175" s="1324"/>
      <c r="AJ175" s="416"/>
      <c r="AK175" s="1323" t="s">
        <v>2666</v>
      </c>
      <c r="AL175" s="1319"/>
    </row>
    <row r="176" spans="2:38" ht="12.75">
      <c r="B176" s="406"/>
      <c r="C176" s="406"/>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22"/>
      <c r="AE176" s="408"/>
      <c r="AF176" s="408"/>
      <c r="AG176" s="422"/>
      <c r="AH176" s="408"/>
      <c r="AI176" s="408"/>
      <c r="AJ176" s="423"/>
      <c r="AK176" s="408"/>
      <c r="AL176" s="408"/>
    </row>
    <row r="177" spans="1:38" ht="17.25">
      <c r="A177" s="1325" t="s">
        <v>3349</v>
      </c>
      <c r="B177" s="1325"/>
      <c r="C177" s="1325"/>
      <c r="D177" s="1325"/>
      <c r="E177" s="1325"/>
      <c r="F177" s="1325"/>
      <c r="G177" s="1325"/>
      <c r="H177" s="1325"/>
      <c r="I177" s="1325"/>
      <c r="J177" s="1325"/>
      <c r="K177" s="1325"/>
      <c r="L177" s="1325"/>
      <c r="M177" s="1325"/>
      <c r="N177" s="1325"/>
      <c r="O177" s="1325"/>
      <c r="P177" s="1325"/>
      <c r="Q177" s="1325"/>
      <c r="R177" s="1325"/>
      <c r="S177" s="1325"/>
      <c r="T177" s="1325"/>
      <c r="U177" s="1325"/>
      <c r="V177" s="1325"/>
      <c r="W177" s="1325"/>
      <c r="X177" s="1325"/>
      <c r="Y177" s="1325"/>
      <c r="Z177" s="1325"/>
      <c r="AA177" s="1325"/>
      <c r="AB177" s="1325"/>
      <c r="AC177" s="1325"/>
      <c r="AD177" s="1325"/>
      <c r="AE177" s="1325"/>
      <c r="AF177" s="1325"/>
      <c r="AG177" s="1325"/>
      <c r="AH177" s="1325"/>
      <c r="AI177" s="1325"/>
      <c r="AJ177" s="1325"/>
      <c r="AK177" s="1325"/>
      <c r="AL177" s="1325"/>
    </row>
    <row r="178" spans="1:38" ht="12.75">
      <c r="A178" s="425"/>
      <c r="B178" s="425"/>
      <c r="C178" s="425"/>
      <c r="D178" s="425"/>
      <c r="E178" s="425"/>
      <c r="F178" s="425"/>
      <c r="G178" s="425"/>
      <c r="H178" s="425"/>
      <c r="I178" s="425"/>
      <c r="J178" s="425"/>
      <c r="K178" s="425"/>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row>
    <row r="179" spans="1:38" ht="12.75">
      <c r="A179" s="405" t="s">
        <v>618</v>
      </c>
      <c r="B179" s="1318" t="s">
        <v>3350</v>
      </c>
      <c r="C179" s="1318"/>
      <c r="D179" s="1318"/>
      <c r="E179" s="1318"/>
      <c r="F179" s="1318"/>
      <c r="G179" s="1318"/>
      <c r="H179" s="1318"/>
      <c r="I179" s="1318"/>
      <c r="J179" s="1318"/>
      <c r="K179" s="1318"/>
      <c r="L179" s="1318"/>
      <c r="M179" s="1318"/>
      <c r="N179" s="1318"/>
      <c r="O179" s="1318"/>
      <c r="P179" s="1318"/>
      <c r="Q179" s="1318"/>
      <c r="R179" s="1318"/>
      <c r="S179" s="1318"/>
      <c r="T179" s="1318"/>
      <c r="U179" s="1318"/>
      <c r="V179" s="1318"/>
      <c r="W179" s="1318"/>
      <c r="X179" s="1318"/>
      <c r="Y179" s="1318"/>
      <c r="Z179" s="1318"/>
      <c r="AA179" s="1318"/>
      <c r="AB179" s="1318"/>
      <c r="AC179" s="1327"/>
      <c r="AD179" s="416"/>
      <c r="AE179" s="1323" t="s">
        <v>621</v>
      </c>
      <c r="AF179" s="1322"/>
      <c r="AG179" s="416"/>
      <c r="AH179" s="1323" t="s">
        <v>622</v>
      </c>
      <c r="AI179" s="1324"/>
      <c r="AJ179" s="416"/>
      <c r="AK179" s="1323" t="s">
        <v>2666</v>
      </c>
      <c r="AL179" s="1319"/>
    </row>
    <row r="180" spans="1:38" ht="12.75">
      <c r="A180" s="414"/>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22"/>
      <c r="AE180" s="408"/>
      <c r="AF180" s="408"/>
      <c r="AG180" s="422"/>
      <c r="AH180" s="408"/>
      <c r="AI180" s="408"/>
      <c r="AJ180" s="423"/>
      <c r="AK180" s="408"/>
      <c r="AL180" s="408"/>
    </row>
    <row r="181" spans="1:38" ht="12.75">
      <c r="A181" s="405" t="s">
        <v>243</v>
      </c>
      <c r="B181" s="1318" t="s">
        <v>3351</v>
      </c>
      <c r="C181" s="1318"/>
      <c r="D181" s="1318"/>
      <c r="E181" s="1318"/>
      <c r="F181" s="1318"/>
      <c r="G181" s="1318"/>
      <c r="H181" s="1318"/>
      <c r="I181" s="1318"/>
      <c r="J181" s="1318"/>
      <c r="K181" s="1318"/>
      <c r="L181" s="1318"/>
      <c r="M181" s="1318"/>
      <c r="N181" s="1318"/>
      <c r="O181" s="1318"/>
      <c r="P181" s="1318"/>
      <c r="Q181" s="1318"/>
      <c r="R181" s="1318"/>
      <c r="S181" s="1318"/>
      <c r="T181" s="1318"/>
      <c r="U181" s="1318"/>
      <c r="V181" s="1318"/>
      <c r="W181" s="1318"/>
      <c r="X181" s="1318"/>
      <c r="Y181" s="1318"/>
      <c r="Z181" s="1318"/>
      <c r="AA181" s="1318"/>
      <c r="AB181" s="1318"/>
      <c r="AC181" s="1318"/>
      <c r="AD181" s="416"/>
      <c r="AE181" s="1323" t="s">
        <v>621</v>
      </c>
      <c r="AF181" s="1322"/>
      <c r="AG181" s="416"/>
      <c r="AH181" s="1323" t="s">
        <v>622</v>
      </c>
      <c r="AI181" s="1324"/>
      <c r="AJ181" s="416"/>
      <c r="AK181" s="1323" t="s">
        <v>2666</v>
      </c>
      <c r="AL181" s="1319"/>
    </row>
    <row r="182" spans="1:38" ht="12.75">
      <c r="A182" s="405"/>
      <c r="B182" s="1335" t="s">
        <v>3352</v>
      </c>
      <c r="C182" s="1335"/>
      <c r="D182" s="1335"/>
      <c r="E182" s="1335"/>
      <c r="F182" s="1335"/>
      <c r="G182" s="1335"/>
      <c r="H182" s="1335"/>
      <c r="I182" s="1335"/>
      <c r="J182" s="1335"/>
      <c r="K182" s="1335"/>
      <c r="L182" s="1335"/>
      <c r="M182" s="1335"/>
      <c r="N182" s="1335"/>
      <c r="O182" s="1335"/>
      <c r="P182" s="1335"/>
      <c r="Q182" s="1335"/>
      <c r="R182" s="1335"/>
      <c r="S182" s="1335"/>
      <c r="T182" s="1335"/>
      <c r="U182" s="1335"/>
      <c r="V182" s="1335"/>
      <c r="W182" s="1335"/>
      <c r="X182" s="1335"/>
      <c r="Y182" s="1335"/>
      <c r="Z182" s="1335"/>
      <c r="AA182" s="1335"/>
      <c r="AB182" s="1335"/>
      <c r="AC182" s="1335"/>
      <c r="AD182" s="419"/>
      <c r="AE182" s="413"/>
      <c r="AF182" s="413"/>
      <c r="AG182" s="419"/>
      <c r="AH182" s="413"/>
      <c r="AI182" s="413"/>
      <c r="AJ182" s="419"/>
      <c r="AK182" s="413"/>
      <c r="AL182" s="424"/>
    </row>
    <row r="183" spans="1:38" ht="12.75">
      <c r="A183" s="405"/>
      <c r="B183" s="1335"/>
      <c r="C183" s="1335"/>
      <c r="D183" s="1335"/>
      <c r="E183" s="1335"/>
      <c r="F183" s="1335"/>
      <c r="G183" s="1335"/>
      <c r="H183" s="1335"/>
      <c r="I183" s="1335"/>
      <c r="J183" s="1335"/>
      <c r="K183" s="1335"/>
      <c r="L183" s="1335"/>
      <c r="M183" s="1335"/>
      <c r="N183" s="1335"/>
      <c r="O183" s="1335"/>
      <c r="P183" s="1335"/>
      <c r="Q183" s="1335"/>
      <c r="R183" s="1335"/>
      <c r="S183" s="1335"/>
      <c r="T183" s="1335"/>
      <c r="U183" s="1335"/>
      <c r="V183" s="1335"/>
      <c r="W183" s="1335"/>
      <c r="X183" s="1335"/>
      <c r="Y183" s="1335"/>
      <c r="Z183" s="1335"/>
      <c r="AA183" s="1335"/>
      <c r="AB183" s="1335"/>
      <c r="AC183" s="1335"/>
      <c r="AD183" s="419"/>
      <c r="AE183" s="413"/>
      <c r="AF183" s="413"/>
      <c r="AG183" s="419"/>
      <c r="AH183" s="413"/>
      <c r="AI183" s="413"/>
      <c r="AJ183" s="419"/>
      <c r="AK183" s="413"/>
      <c r="AL183" s="424"/>
    </row>
    <row r="184" spans="1:29" ht="12.75">
      <c r="A184" s="414"/>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row>
    <row r="185" spans="1:38" ht="12.75">
      <c r="A185" s="405" t="s">
        <v>245</v>
      </c>
      <c r="B185" s="1318" t="s">
        <v>3874</v>
      </c>
      <c r="C185" s="1318"/>
      <c r="D185" s="1318"/>
      <c r="E185" s="1318"/>
      <c r="F185" s="1318"/>
      <c r="G185" s="1318"/>
      <c r="H185" s="1318"/>
      <c r="I185" s="1318"/>
      <c r="J185" s="1318"/>
      <c r="K185" s="1318"/>
      <c r="L185" s="1318"/>
      <c r="M185" s="1318"/>
      <c r="N185" s="1318"/>
      <c r="O185" s="1318"/>
      <c r="P185" s="1318"/>
      <c r="Q185" s="1318"/>
      <c r="R185" s="1318"/>
      <c r="S185" s="1318"/>
      <c r="T185" s="1318"/>
      <c r="U185" s="1318"/>
      <c r="V185" s="1318"/>
      <c r="W185" s="1318"/>
      <c r="X185" s="1318"/>
      <c r="Y185" s="1318"/>
      <c r="Z185" s="1318"/>
      <c r="AA185" s="1318"/>
      <c r="AB185" s="1318"/>
      <c r="AC185" s="1327"/>
      <c r="AD185" s="416"/>
      <c r="AE185" s="1323" t="s">
        <v>621</v>
      </c>
      <c r="AF185" s="1322"/>
      <c r="AG185" s="416"/>
      <c r="AH185" s="1323" t="s">
        <v>622</v>
      </c>
      <c r="AI185" s="1324"/>
      <c r="AJ185" s="416"/>
      <c r="AK185" s="1323" t="s">
        <v>2666</v>
      </c>
      <c r="AL185" s="1319"/>
    </row>
    <row r="186" spans="1:38" ht="12.75">
      <c r="A186" s="414"/>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7"/>
      <c r="AD186" s="419"/>
      <c r="AE186" s="413"/>
      <c r="AF186" s="413"/>
      <c r="AG186" s="419"/>
      <c r="AH186" s="413"/>
      <c r="AI186" s="413"/>
      <c r="AJ186" s="419"/>
      <c r="AK186" s="413"/>
      <c r="AL186" s="424"/>
    </row>
    <row r="187" spans="1:38" ht="12.75">
      <c r="A187" s="405" t="s">
        <v>247</v>
      </c>
      <c r="B187" s="1318" t="s">
        <v>3875</v>
      </c>
      <c r="C187" s="1318"/>
      <c r="D187" s="1318"/>
      <c r="E187" s="1318"/>
      <c r="F187" s="1318"/>
      <c r="G187" s="1318"/>
      <c r="H187" s="1318"/>
      <c r="I187" s="1318"/>
      <c r="J187" s="1318"/>
      <c r="K187" s="1318"/>
      <c r="L187" s="1318"/>
      <c r="M187" s="1318"/>
      <c r="N187" s="1318"/>
      <c r="O187" s="1318"/>
      <c r="P187" s="1318"/>
      <c r="Q187" s="1318"/>
      <c r="R187" s="1318"/>
      <c r="S187" s="1318"/>
      <c r="T187" s="1318"/>
      <c r="U187" s="1318"/>
      <c r="V187" s="1318"/>
      <c r="W187" s="1318"/>
      <c r="X187" s="1318"/>
      <c r="Y187" s="1318"/>
      <c r="Z187" s="1318"/>
      <c r="AA187" s="1318"/>
      <c r="AB187" s="1318"/>
      <c r="AC187" s="1318"/>
      <c r="AD187" s="416"/>
      <c r="AE187" s="1323" t="s">
        <v>621</v>
      </c>
      <c r="AF187" s="1322"/>
      <c r="AG187" s="416"/>
      <c r="AH187" s="1323" t="s">
        <v>622</v>
      </c>
      <c r="AI187" s="1324"/>
      <c r="AJ187" s="416"/>
      <c r="AK187" s="1323" t="s">
        <v>2666</v>
      </c>
      <c r="AL187" s="1319"/>
    </row>
    <row r="188" spans="1:38" ht="12.75">
      <c r="A188" s="405"/>
      <c r="B188" s="1318"/>
      <c r="C188" s="1318"/>
      <c r="D188" s="1318"/>
      <c r="E188" s="1318"/>
      <c r="F188" s="1318"/>
      <c r="G188" s="1318"/>
      <c r="H188" s="1318"/>
      <c r="I188" s="1318"/>
      <c r="J188" s="1318"/>
      <c r="K188" s="1318"/>
      <c r="L188" s="1318"/>
      <c r="M188" s="1318"/>
      <c r="N188" s="1318"/>
      <c r="O188" s="1318"/>
      <c r="P188" s="1318"/>
      <c r="Q188" s="1318"/>
      <c r="R188" s="1318"/>
      <c r="S188" s="1318"/>
      <c r="T188" s="1318"/>
      <c r="U188" s="1318"/>
      <c r="V188" s="1318"/>
      <c r="W188" s="1318"/>
      <c r="X188" s="1318"/>
      <c r="Y188" s="1318"/>
      <c r="Z188" s="1318"/>
      <c r="AA188" s="1318"/>
      <c r="AB188" s="1318"/>
      <c r="AC188" s="1318"/>
      <c r="AD188" s="427"/>
      <c r="AE188" s="411"/>
      <c r="AF188" s="411"/>
      <c r="AG188" s="427"/>
      <c r="AH188" s="411"/>
      <c r="AI188" s="411"/>
      <c r="AJ188" s="428"/>
      <c r="AK188" s="411"/>
      <c r="AL188" s="411"/>
    </row>
    <row r="189" spans="2:38" ht="12.75">
      <c r="B189" s="406"/>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23"/>
      <c r="AE189" s="408"/>
      <c r="AF189" s="408"/>
      <c r="AG189" s="423"/>
      <c r="AH189" s="408"/>
      <c r="AI189" s="408"/>
      <c r="AJ189" s="423"/>
      <c r="AK189" s="408"/>
      <c r="AL189" s="408"/>
    </row>
    <row r="190" spans="1:38" ht="12.75">
      <c r="A190" s="405" t="s">
        <v>250</v>
      </c>
      <c r="B190" s="1318" t="s">
        <v>3876</v>
      </c>
      <c r="C190" s="1318"/>
      <c r="D190" s="1318"/>
      <c r="E190" s="1318"/>
      <c r="F190" s="1318"/>
      <c r="G190" s="1318"/>
      <c r="H190" s="1318"/>
      <c r="I190" s="1318"/>
      <c r="J190" s="1318"/>
      <c r="K190" s="1318"/>
      <c r="L190" s="1318"/>
      <c r="M190" s="1318"/>
      <c r="N190" s="1318"/>
      <c r="O190" s="1318"/>
      <c r="P190" s="1318"/>
      <c r="Q190" s="1318"/>
      <c r="R190" s="1318"/>
      <c r="S190" s="1318"/>
      <c r="T190" s="1318"/>
      <c r="U190" s="1318"/>
      <c r="V190" s="1318"/>
      <c r="W190" s="1318"/>
      <c r="X190" s="1318"/>
      <c r="Y190" s="1318"/>
      <c r="Z190" s="1318"/>
      <c r="AA190" s="1318"/>
      <c r="AB190" s="1318"/>
      <c r="AC190" s="1318"/>
      <c r="AD190" s="416"/>
      <c r="AE190" s="1323" t="s">
        <v>621</v>
      </c>
      <c r="AF190" s="1322"/>
      <c r="AG190" s="416"/>
      <c r="AH190" s="1323" t="s">
        <v>622</v>
      </c>
      <c r="AI190" s="1324"/>
      <c r="AJ190" s="416"/>
      <c r="AK190" s="1323" t="s">
        <v>2666</v>
      </c>
      <c r="AL190" s="1319"/>
    </row>
    <row r="192" spans="1:38" ht="12.75">
      <c r="A192" s="405" t="s">
        <v>252</v>
      </c>
      <c r="B192" s="1318" t="s">
        <v>3877</v>
      </c>
      <c r="C192" s="1318"/>
      <c r="D192" s="1318"/>
      <c r="E192" s="1318"/>
      <c r="F192" s="1318"/>
      <c r="G192" s="1318"/>
      <c r="H192" s="1318"/>
      <c r="I192" s="1318"/>
      <c r="J192" s="1318"/>
      <c r="K192" s="1318"/>
      <c r="L192" s="1318"/>
      <c r="M192" s="1318"/>
      <c r="N192" s="1318"/>
      <c r="O192" s="1318"/>
      <c r="P192" s="1318"/>
      <c r="Q192" s="1318"/>
      <c r="R192" s="1318"/>
      <c r="S192" s="1318"/>
      <c r="T192" s="1318"/>
      <c r="U192" s="1318"/>
      <c r="V192" s="1318"/>
      <c r="W192" s="1318"/>
      <c r="X192" s="1318"/>
      <c r="Y192" s="1318"/>
      <c r="Z192" s="1318"/>
      <c r="AA192" s="1318"/>
      <c r="AB192" s="1318"/>
      <c r="AC192" s="1327"/>
      <c r="AD192" s="416"/>
      <c r="AE192" s="1323" t="s">
        <v>621</v>
      </c>
      <c r="AF192" s="1322"/>
      <c r="AG192" s="416"/>
      <c r="AH192" s="1323" t="s">
        <v>622</v>
      </c>
      <c r="AI192" s="1324"/>
      <c r="AJ192" s="416"/>
      <c r="AK192" s="1323" t="s">
        <v>2666</v>
      </c>
      <c r="AL192" s="1319"/>
    </row>
    <row r="193" spans="2:38" ht="12.75">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22"/>
      <c r="AE193" s="408"/>
      <c r="AF193" s="408"/>
      <c r="AG193" s="422"/>
      <c r="AH193" s="408"/>
      <c r="AI193" s="408"/>
      <c r="AJ193" s="423"/>
      <c r="AK193" s="408"/>
      <c r="AL193" s="408"/>
    </row>
    <row r="194" spans="1:38" ht="12.75">
      <c r="A194" s="405" t="s">
        <v>254</v>
      </c>
      <c r="B194" s="1318" t="s">
        <v>3878</v>
      </c>
      <c r="C194" s="1318"/>
      <c r="D194" s="1318"/>
      <c r="E194" s="1318"/>
      <c r="F194" s="1318"/>
      <c r="G194" s="1318"/>
      <c r="H194" s="1318"/>
      <c r="I194" s="1318"/>
      <c r="J194" s="1318"/>
      <c r="K194" s="1318"/>
      <c r="L194" s="1318"/>
      <c r="M194" s="1318"/>
      <c r="N194" s="1318"/>
      <c r="O194" s="1318"/>
      <c r="P194" s="1318"/>
      <c r="Q194" s="1318"/>
      <c r="R194" s="1318"/>
      <c r="S194" s="1318"/>
      <c r="T194" s="1318"/>
      <c r="U194" s="1318"/>
      <c r="V194" s="1318"/>
      <c r="W194" s="1318"/>
      <c r="X194" s="1318"/>
      <c r="Y194" s="1318"/>
      <c r="Z194" s="1318"/>
      <c r="AA194" s="1318"/>
      <c r="AB194" s="1318"/>
      <c r="AC194" s="1318"/>
      <c r="AD194" s="416"/>
      <c r="AE194" s="1323" t="s">
        <v>621</v>
      </c>
      <c r="AF194" s="1322"/>
      <c r="AG194" s="416"/>
      <c r="AH194" s="1323" t="s">
        <v>622</v>
      </c>
      <c r="AI194" s="1324"/>
      <c r="AJ194" s="416"/>
      <c r="AK194" s="1323" t="s">
        <v>2666</v>
      </c>
      <c r="AL194" s="1319"/>
    </row>
    <row r="195" spans="2:29" ht="12.75">
      <c r="B195" s="406"/>
      <c r="C195" s="406"/>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row>
    <row r="196" spans="1:38" ht="12.75">
      <c r="A196" s="405" t="s">
        <v>256</v>
      </c>
      <c r="B196" s="1318" t="s">
        <v>3879</v>
      </c>
      <c r="C196" s="1318"/>
      <c r="D196" s="1318"/>
      <c r="E196" s="1318"/>
      <c r="F196" s="1318"/>
      <c r="G196" s="1318"/>
      <c r="H196" s="1318"/>
      <c r="I196" s="1318"/>
      <c r="J196" s="1318"/>
      <c r="K196" s="1318"/>
      <c r="L196" s="1318"/>
      <c r="M196" s="1318"/>
      <c r="N196" s="1318"/>
      <c r="O196" s="1318"/>
      <c r="P196" s="1318"/>
      <c r="Q196" s="1318"/>
      <c r="R196" s="1318"/>
      <c r="S196" s="1318"/>
      <c r="T196" s="1318"/>
      <c r="U196" s="1318"/>
      <c r="V196" s="1318"/>
      <c r="W196" s="1318"/>
      <c r="X196" s="1318"/>
      <c r="Y196" s="1318"/>
      <c r="Z196" s="1318"/>
      <c r="AA196" s="1318"/>
      <c r="AB196" s="1318"/>
      <c r="AC196" s="1327"/>
      <c r="AD196" s="416"/>
      <c r="AE196" s="1323" t="s">
        <v>621</v>
      </c>
      <c r="AF196" s="1322"/>
      <c r="AG196" s="416"/>
      <c r="AH196" s="1323" t="s">
        <v>622</v>
      </c>
      <c r="AI196" s="1324"/>
      <c r="AJ196" s="416"/>
      <c r="AK196" s="1323" t="s">
        <v>2666</v>
      </c>
      <c r="AL196" s="1319"/>
    </row>
    <row r="197" spans="2:38" ht="12.75">
      <c r="B197" s="1318" t="s">
        <v>3880</v>
      </c>
      <c r="C197" s="1318"/>
      <c r="D197" s="1318"/>
      <c r="E197" s="1318"/>
      <c r="F197" s="1318"/>
      <c r="G197" s="1318"/>
      <c r="H197" s="1318"/>
      <c r="I197" s="1318"/>
      <c r="J197" s="1318"/>
      <c r="K197" s="1318"/>
      <c r="L197" s="1318"/>
      <c r="M197" s="1318"/>
      <c r="N197" s="1318"/>
      <c r="O197" s="1318"/>
      <c r="P197" s="1318"/>
      <c r="Q197" s="1318"/>
      <c r="R197" s="1318"/>
      <c r="S197" s="1318"/>
      <c r="T197" s="1318"/>
      <c r="U197" s="1318"/>
      <c r="V197" s="1318"/>
      <c r="W197" s="1318"/>
      <c r="X197" s="1318"/>
      <c r="Y197" s="1318"/>
      <c r="Z197" s="1318"/>
      <c r="AA197" s="1318"/>
      <c r="AB197" s="1318"/>
      <c r="AC197" s="1327"/>
      <c r="AD197" s="416"/>
      <c r="AE197" s="1323" t="s">
        <v>621</v>
      </c>
      <c r="AF197" s="1322"/>
      <c r="AG197" s="416"/>
      <c r="AH197" s="1323" t="s">
        <v>622</v>
      </c>
      <c r="AI197" s="1324"/>
      <c r="AJ197" s="416"/>
      <c r="AK197" s="1323" t="s">
        <v>2666</v>
      </c>
      <c r="AL197" s="1319"/>
    </row>
    <row r="198" spans="2:38" ht="12.75">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7"/>
      <c r="AD198" s="419"/>
      <c r="AE198" s="413"/>
      <c r="AF198" s="413"/>
      <c r="AG198" s="419"/>
      <c r="AH198" s="413"/>
      <c r="AI198" s="413"/>
      <c r="AJ198" s="419"/>
      <c r="AK198" s="413"/>
      <c r="AL198" s="424"/>
    </row>
    <row r="199" spans="1:38" ht="12.75">
      <c r="A199" s="405" t="s">
        <v>258</v>
      </c>
      <c r="B199" s="1318" t="s">
        <v>3881</v>
      </c>
      <c r="C199" s="1318"/>
      <c r="D199" s="1318"/>
      <c r="E199" s="1318"/>
      <c r="F199" s="1318"/>
      <c r="G199" s="1318"/>
      <c r="H199" s="1318"/>
      <c r="I199" s="1318"/>
      <c r="J199" s="1318"/>
      <c r="K199" s="1318"/>
      <c r="L199" s="1318"/>
      <c r="M199" s="1318"/>
      <c r="N199" s="1318"/>
      <c r="O199" s="1318"/>
      <c r="P199" s="1318"/>
      <c r="Q199" s="1318"/>
      <c r="R199" s="1318"/>
      <c r="S199" s="1318"/>
      <c r="T199" s="1318"/>
      <c r="U199" s="1318"/>
      <c r="V199" s="1318"/>
      <c r="W199" s="1318"/>
      <c r="X199" s="1318"/>
      <c r="Y199" s="1318"/>
      <c r="Z199" s="1318"/>
      <c r="AA199" s="1318"/>
      <c r="AB199" s="1318"/>
      <c r="AC199" s="1327"/>
      <c r="AD199" s="416"/>
      <c r="AE199" s="1323" t="s">
        <v>621</v>
      </c>
      <c r="AF199" s="1322"/>
      <c r="AG199" s="416"/>
      <c r="AH199" s="1323" t="s">
        <v>622</v>
      </c>
      <c r="AI199" s="1324"/>
      <c r="AJ199" s="416"/>
      <c r="AK199" s="1323" t="s">
        <v>2666</v>
      </c>
      <c r="AL199" s="1319"/>
    </row>
    <row r="201" spans="1:38" ht="12.75">
      <c r="A201" s="405" t="s">
        <v>3131</v>
      </c>
      <c r="B201" s="1318" t="s">
        <v>3882</v>
      </c>
      <c r="C201" s="1318"/>
      <c r="D201" s="1318"/>
      <c r="E201" s="1318"/>
      <c r="F201" s="1318"/>
      <c r="G201" s="1318"/>
      <c r="H201" s="1318"/>
      <c r="I201" s="1318"/>
      <c r="J201" s="1318"/>
      <c r="K201" s="1318"/>
      <c r="L201" s="1318"/>
      <c r="M201" s="1318"/>
      <c r="N201" s="1318"/>
      <c r="O201" s="1318"/>
      <c r="P201" s="1318"/>
      <c r="Q201" s="1318"/>
      <c r="R201" s="1318"/>
      <c r="S201" s="1318"/>
      <c r="T201" s="1318"/>
      <c r="U201" s="1318"/>
      <c r="V201" s="1318"/>
      <c r="W201" s="1318"/>
      <c r="X201" s="1318"/>
      <c r="Y201" s="1318"/>
      <c r="Z201" s="1318"/>
      <c r="AA201" s="1318"/>
      <c r="AB201" s="1318"/>
      <c r="AC201" s="1318"/>
      <c r="AD201" s="416"/>
      <c r="AE201" s="1323" t="s">
        <v>621</v>
      </c>
      <c r="AF201" s="1322"/>
      <c r="AG201" s="416"/>
      <c r="AH201" s="1323" t="s">
        <v>622</v>
      </c>
      <c r="AI201" s="1324"/>
      <c r="AJ201" s="416"/>
      <c r="AK201" s="1323" t="s">
        <v>2666</v>
      </c>
      <c r="AL201" s="1319"/>
    </row>
    <row r="203" spans="1:38" ht="12.75">
      <c r="A203" s="405" t="s">
        <v>1017</v>
      </c>
      <c r="B203" s="1318" t="s">
        <v>3883</v>
      </c>
      <c r="C203" s="1318"/>
      <c r="D203" s="1318"/>
      <c r="E203" s="1318"/>
      <c r="F203" s="1318"/>
      <c r="G203" s="1318"/>
      <c r="H203" s="1318"/>
      <c r="I203" s="1318"/>
      <c r="J203" s="1318"/>
      <c r="K203" s="1318"/>
      <c r="L203" s="1318"/>
      <c r="M203" s="1318"/>
      <c r="N203" s="1318"/>
      <c r="O203" s="1318"/>
      <c r="P203" s="1318"/>
      <c r="Q203" s="1318"/>
      <c r="R203" s="1318"/>
      <c r="S203" s="1318"/>
      <c r="T203" s="1318"/>
      <c r="U203" s="1318"/>
      <c r="V203" s="1318"/>
      <c r="W203" s="1318"/>
      <c r="X203" s="1318"/>
      <c r="Y203" s="1318"/>
      <c r="Z203" s="1318"/>
      <c r="AA203" s="1318"/>
      <c r="AB203" s="1318"/>
      <c r="AC203" s="1327"/>
      <c r="AD203" s="416"/>
      <c r="AE203" s="1323" t="s">
        <v>621</v>
      </c>
      <c r="AF203" s="1322"/>
      <c r="AG203" s="416"/>
      <c r="AH203" s="1323" t="s">
        <v>622</v>
      </c>
      <c r="AI203" s="1324"/>
      <c r="AJ203" s="416"/>
      <c r="AK203" s="1323" t="s">
        <v>2666</v>
      </c>
      <c r="AL203" s="1319"/>
    </row>
    <row r="204" spans="2:38" ht="12.75">
      <c r="B204" s="406"/>
      <c r="C204" s="406"/>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22"/>
      <c r="AE204" s="408"/>
      <c r="AF204" s="408"/>
      <c r="AG204" s="422"/>
      <c r="AH204" s="408"/>
      <c r="AI204" s="408"/>
      <c r="AJ204" s="423"/>
      <c r="AK204" s="408"/>
      <c r="AL204" s="408"/>
    </row>
    <row r="205" spans="1:38" ht="17.25">
      <c r="A205" s="1325" t="s">
        <v>3884</v>
      </c>
      <c r="B205" s="1325"/>
      <c r="C205" s="1325"/>
      <c r="D205" s="1325"/>
      <c r="E205" s="1325"/>
      <c r="F205" s="1325"/>
      <c r="G205" s="1325"/>
      <c r="H205" s="1325"/>
      <c r="I205" s="1325"/>
      <c r="J205" s="1325"/>
      <c r="K205" s="1325"/>
      <c r="L205" s="1325"/>
      <c r="M205" s="1325"/>
      <c r="N205" s="1325"/>
      <c r="O205" s="1325"/>
      <c r="P205" s="1325"/>
      <c r="Q205" s="1325"/>
      <c r="R205" s="1325"/>
      <c r="S205" s="1325"/>
      <c r="T205" s="1325"/>
      <c r="U205" s="1325"/>
      <c r="V205" s="1325"/>
      <c r="W205" s="1325"/>
      <c r="X205" s="1325"/>
      <c r="Y205" s="1325"/>
      <c r="Z205" s="1325"/>
      <c r="AA205" s="1325"/>
      <c r="AB205" s="1325"/>
      <c r="AC205" s="1325"/>
      <c r="AD205" s="1325"/>
      <c r="AE205" s="1325"/>
      <c r="AF205" s="1325"/>
      <c r="AG205" s="1325"/>
      <c r="AH205" s="1325"/>
      <c r="AI205" s="1325"/>
      <c r="AJ205" s="1325"/>
      <c r="AK205" s="1325"/>
      <c r="AL205" s="1325"/>
    </row>
    <row r="206" spans="1:38" ht="12.75">
      <c r="A206" s="425"/>
      <c r="B206" s="425"/>
      <c r="C206" s="425"/>
      <c r="D206" s="425"/>
      <c r="E206" s="425"/>
      <c r="F206" s="425"/>
      <c r="G206" s="425"/>
      <c r="H206" s="425"/>
      <c r="I206" s="425"/>
      <c r="J206" s="425"/>
      <c r="K206" s="425"/>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row>
    <row r="207" spans="1:38" ht="12.75">
      <c r="A207" s="405" t="s">
        <v>618</v>
      </c>
      <c r="B207" s="1318" t="s">
        <v>3885</v>
      </c>
      <c r="C207" s="1318"/>
      <c r="D207" s="1318"/>
      <c r="E207" s="1318"/>
      <c r="F207" s="1318"/>
      <c r="G207" s="1318"/>
      <c r="H207" s="1318"/>
      <c r="I207" s="1318"/>
      <c r="J207" s="1318"/>
      <c r="K207" s="1318"/>
      <c r="L207" s="1318"/>
      <c r="M207" s="1318"/>
      <c r="N207" s="1318"/>
      <c r="O207" s="1318"/>
      <c r="P207" s="1318"/>
      <c r="Q207" s="1318"/>
      <c r="R207" s="1318"/>
      <c r="S207" s="1318"/>
      <c r="T207" s="1318"/>
      <c r="U207" s="1318"/>
      <c r="V207" s="1318"/>
      <c r="W207" s="1318"/>
      <c r="X207" s="1318"/>
      <c r="Y207" s="1318"/>
      <c r="Z207" s="1318"/>
      <c r="AA207" s="1318"/>
      <c r="AB207" s="1318"/>
      <c r="AC207" s="1327"/>
      <c r="AD207" s="416"/>
      <c r="AE207" s="1323" t="s">
        <v>621</v>
      </c>
      <c r="AF207" s="1322"/>
      <c r="AG207" s="416"/>
      <c r="AH207" s="1323" t="s">
        <v>622</v>
      </c>
      <c r="AI207" s="1324"/>
      <c r="AJ207" s="416"/>
      <c r="AK207" s="1323" t="s">
        <v>2666</v>
      </c>
      <c r="AL207" s="1319"/>
    </row>
    <row r="208" spans="1:38" ht="12.75">
      <c r="A208" s="414"/>
      <c r="B208" s="406"/>
      <c r="C208" s="406"/>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6"/>
      <c r="Z208" s="406"/>
      <c r="AA208" s="406"/>
      <c r="AB208" s="406"/>
      <c r="AC208" s="406"/>
      <c r="AD208" s="422"/>
      <c r="AE208" s="408"/>
      <c r="AF208" s="408"/>
      <c r="AG208" s="422"/>
      <c r="AH208" s="408"/>
      <c r="AI208" s="408"/>
      <c r="AJ208" s="423"/>
      <c r="AK208" s="408"/>
      <c r="AL208" s="408"/>
    </row>
    <row r="209" spans="1:38" ht="12.75">
      <c r="A209" s="405" t="s">
        <v>243</v>
      </c>
      <c r="B209" s="1318" t="s">
        <v>435</v>
      </c>
      <c r="C209" s="1318"/>
      <c r="D209" s="1318"/>
      <c r="E209" s="1318"/>
      <c r="F209" s="1318"/>
      <c r="G209" s="1318"/>
      <c r="H209" s="1318"/>
      <c r="I209" s="1318"/>
      <c r="J209" s="1318"/>
      <c r="K209" s="1318"/>
      <c r="L209" s="1318"/>
      <c r="M209" s="1318"/>
      <c r="N209" s="1318"/>
      <c r="O209" s="1318"/>
      <c r="P209" s="1318"/>
      <c r="Q209" s="1318"/>
      <c r="R209" s="1318"/>
      <c r="S209" s="1318"/>
      <c r="T209" s="1318"/>
      <c r="U209" s="1318"/>
      <c r="V209" s="1318"/>
      <c r="W209" s="1318"/>
      <c r="X209" s="1318"/>
      <c r="Y209" s="1318"/>
      <c r="Z209" s="1318"/>
      <c r="AA209" s="1318"/>
      <c r="AB209" s="1318"/>
      <c r="AC209" s="1318"/>
      <c r="AD209" s="416"/>
      <c r="AE209" s="1323" t="s">
        <v>621</v>
      </c>
      <c r="AF209" s="1322"/>
      <c r="AG209" s="416"/>
      <c r="AH209" s="1323" t="s">
        <v>622</v>
      </c>
      <c r="AI209" s="1324"/>
      <c r="AJ209" s="416"/>
      <c r="AK209" s="1323" t="s">
        <v>2666</v>
      </c>
      <c r="AL209" s="1319"/>
    </row>
    <row r="210" spans="1:29" ht="12.75">
      <c r="A210" s="414"/>
      <c r="B210" s="1318"/>
      <c r="C210" s="1318"/>
      <c r="D210" s="1318"/>
      <c r="E210" s="1318"/>
      <c r="F210" s="1318"/>
      <c r="G210" s="1318"/>
      <c r="H210" s="1318"/>
      <c r="I210" s="1318"/>
      <c r="J210" s="1318"/>
      <c r="K210" s="1318"/>
      <c r="L210" s="1318"/>
      <c r="M210" s="1318"/>
      <c r="N210" s="1318"/>
      <c r="O210" s="1318"/>
      <c r="P210" s="1318"/>
      <c r="Q210" s="1318"/>
      <c r="R210" s="1318"/>
      <c r="S210" s="1318"/>
      <c r="T210" s="1318"/>
      <c r="U210" s="1318"/>
      <c r="V210" s="1318"/>
      <c r="W210" s="1318"/>
      <c r="X210" s="1318"/>
      <c r="Y210" s="1318"/>
      <c r="Z210" s="1318"/>
      <c r="AA210" s="1318"/>
      <c r="AB210" s="1318"/>
      <c r="AC210" s="1318"/>
    </row>
    <row r="211" spans="1:29" ht="12.75">
      <c r="A211" s="414"/>
      <c r="B211" s="406"/>
      <c r="C211" s="406"/>
      <c r="D211" s="406"/>
      <c r="E211" s="406"/>
      <c r="F211" s="406"/>
      <c r="G211" s="406"/>
      <c r="H211" s="406"/>
      <c r="I211" s="406"/>
      <c r="J211" s="406"/>
      <c r="K211" s="406"/>
      <c r="L211" s="406"/>
      <c r="M211" s="406"/>
      <c r="N211" s="406"/>
      <c r="O211" s="406"/>
      <c r="P211" s="406"/>
      <c r="Q211" s="406"/>
      <c r="R211" s="406"/>
      <c r="S211" s="406"/>
      <c r="T211" s="406"/>
      <c r="U211" s="406"/>
      <c r="V211" s="406"/>
      <c r="W211" s="406"/>
      <c r="X211" s="406"/>
      <c r="Y211" s="406"/>
      <c r="Z211" s="406"/>
      <c r="AA211" s="406"/>
      <c r="AB211" s="406"/>
      <c r="AC211" s="406"/>
    </row>
    <row r="212" spans="1:38" ht="17.25">
      <c r="A212" s="1334" t="s">
        <v>3886</v>
      </c>
      <c r="B212" s="1334"/>
      <c r="C212" s="1334"/>
      <c r="D212" s="1334"/>
      <c r="E212" s="1334"/>
      <c r="F212" s="1334"/>
      <c r="G212" s="1334"/>
      <c r="H212" s="1334"/>
      <c r="I212" s="1334"/>
      <c r="J212" s="1334"/>
      <c r="K212" s="1334"/>
      <c r="L212" s="1334"/>
      <c r="M212" s="1334"/>
      <c r="N212" s="1334"/>
      <c r="O212" s="1334"/>
      <c r="P212" s="1334"/>
      <c r="Q212" s="1334"/>
      <c r="R212" s="1334"/>
      <c r="S212" s="1334"/>
      <c r="T212" s="1334"/>
      <c r="U212" s="1334"/>
      <c r="V212" s="1334"/>
      <c r="W212" s="1334"/>
      <c r="X212" s="1334"/>
      <c r="Y212" s="1334"/>
      <c r="Z212" s="1319" t="s">
        <v>2780</v>
      </c>
      <c r="AA212" s="1319"/>
      <c r="AB212" s="1321"/>
      <c r="AC212" s="1321"/>
      <c r="AD212" s="1321"/>
      <c r="AE212" s="1321"/>
      <c r="AF212" s="1319" t="s">
        <v>2781</v>
      </c>
      <c r="AG212" s="1319"/>
      <c r="AH212" s="1319"/>
      <c r="AI212" s="1321"/>
      <c r="AJ212" s="1321"/>
      <c r="AK212" s="1321"/>
      <c r="AL212" s="1321"/>
    </row>
    <row r="213" spans="28:38" s="410" customFormat="1" ht="12.75">
      <c r="AB213" s="411"/>
      <c r="AC213" s="411"/>
      <c r="AD213" s="411"/>
      <c r="AE213" s="411"/>
      <c r="AI213" s="411"/>
      <c r="AJ213" s="411"/>
      <c r="AK213" s="411"/>
      <c r="AL213" s="411"/>
    </row>
    <row r="214" spans="1:38" ht="12.75">
      <c r="A214" s="412"/>
      <c r="B214" s="405" t="s">
        <v>618</v>
      </c>
      <c r="C214" s="1318" t="s">
        <v>436</v>
      </c>
      <c r="D214" s="1318"/>
      <c r="E214" s="1318"/>
      <c r="F214" s="1318"/>
      <c r="G214" s="1318"/>
      <c r="H214" s="1318"/>
      <c r="I214" s="1318"/>
      <c r="J214" s="1318"/>
      <c r="K214" s="1318"/>
      <c r="L214" s="1318"/>
      <c r="M214" s="1318"/>
      <c r="N214" s="1318"/>
      <c r="O214" s="1318"/>
      <c r="P214" s="1318"/>
      <c r="Q214" s="1318"/>
      <c r="R214" s="1318"/>
      <c r="S214" s="1318"/>
      <c r="T214" s="1318"/>
      <c r="U214" s="1318"/>
      <c r="V214" s="1318"/>
      <c r="W214" s="1318"/>
      <c r="X214" s="1318"/>
      <c r="Y214" s="1318"/>
      <c r="Z214" s="1318"/>
      <c r="AA214" s="1318"/>
      <c r="AB214" s="1318"/>
      <c r="AC214" s="1318"/>
      <c r="AD214" s="1318"/>
      <c r="AE214" s="1318"/>
      <c r="AF214" s="1318"/>
      <c r="AG214" s="1318"/>
      <c r="AH214" s="1318"/>
      <c r="AI214" s="1318"/>
      <c r="AJ214" s="1318"/>
      <c r="AK214" s="1318"/>
      <c r="AL214" s="1318"/>
    </row>
    <row r="215" spans="1:38" ht="12.75">
      <c r="A215" s="405"/>
      <c r="B215" s="405"/>
      <c r="C215" s="1318"/>
      <c r="D215" s="1318"/>
      <c r="E215" s="1318"/>
      <c r="F215" s="1318"/>
      <c r="G215" s="1318"/>
      <c r="H215" s="1318"/>
      <c r="I215" s="1318"/>
      <c r="J215" s="1318"/>
      <c r="K215" s="1318"/>
      <c r="L215" s="1318"/>
      <c r="M215" s="1318"/>
      <c r="N215" s="1318"/>
      <c r="O215" s="1318"/>
      <c r="P215" s="1318"/>
      <c r="Q215" s="1318"/>
      <c r="R215" s="1318"/>
      <c r="S215" s="1318"/>
      <c r="T215" s="1318"/>
      <c r="U215" s="1318"/>
      <c r="V215" s="1318"/>
      <c r="W215" s="1318"/>
      <c r="X215" s="1318"/>
      <c r="Y215" s="1318"/>
      <c r="Z215" s="1318"/>
      <c r="AA215" s="1318"/>
      <c r="AB215" s="1318"/>
      <c r="AC215" s="1318"/>
      <c r="AD215" s="1318"/>
      <c r="AE215" s="1318"/>
      <c r="AF215" s="1318"/>
      <c r="AG215" s="1318"/>
      <c r="AH215" s="1318"/>
      <c r="AI215" s="1318"/>
      <c r="AJ215" s="1318"/>
      <c r="AK215" s="1318"/>
      <c r="AL215" s="1318"/>
    </row>
    <row r="216" spans="1:2" ht="12.75">
      <c r="A216" s="405"/>
      <c r="B216" s="405"/>
    </row>
    <row r="217" spans="1:38" ht="12.75">
      <c r="A217" s="412"/>
      <c r="B217" s="405" t="s">
        <v>243</v>
      </c>
      <c r="C217" s="1319" t="s">
        <v>3887</v>
      </c>
      <c r="D217" s="1319"/>
      <c r="E217" s="1319"/>
      <c r="F217" s="1319"/>
      <c r="G217" s="1319"/>
      <c r="H217" s="1319"/>
      <c r="I217" s="1319"/>
      <c r="J217" s="1319"/>
      <c r="K217" s="1319"/>
      <c r="L217" s="1319"/>
      <c r="M217" s="1319"/>
      <c r="N217" s="1319"/>
      <c r="O217" s="1319"/>
      <c r="P217" s="1319"/>
      <c r="Q217" s="1319"/>
      <c r="R217" s="1319"/>
      <c r="S217" s="1319"/>
      <c r="T217" s="1319"/>
      <c r="U217" s="1319"/>
      <c r="V217" s="1319"/>
      <c r="W217" s="1319"/>
      <c r="X217" s="1319"/>
      <c r="Y217" s="1319"/>
      <c r="Z217" s="1319"/>
      <c r="AA217" s="1319"/>
      <c r="AB217" s="1319"/>
      <c r="AC217" s="1319"/>
      <c r="AD217" s="1319"/>
      <c r="AE217" s="1319"/>
      <c r="AF217" s="1319"/>
      <c r="AG217" s="1319"/>
      <c r="AH217" s="1319"/>
      <c r="AI217" s="1319"/>
      <c r="AJ217" s="1319"/>
      <c r="AK217" s="1319"/>
      <c r="AL217" s="1319"/>
    </row>
    <row r="218" spans="1:2" ht="12.75">
      <c r="A218" s="405"/>
      <c r="B218" s="405"/>
    </row>
    <row r="219" spans="1:38" ht="12.75">
      <c r="A219" s="412"/>
      <c r="B219" s="405" t="s">
        <v>245</v>
      </c>
      <c r="C219" s="1318" t="s">
        <v>437</v>
      </c>
      <c r="D219" s="1318"/>
      <c r="E219" s="1318"/>
      <c r="F219" s="1318"/>
      <c r="G219" s="1318"/>
      <c r="H219" s="1318"/>
      <c r="I219" s="1318"/>
      <c r="J219" s="1318"/>
      <c r="K219" s="1318"/>
      <c r="L219" s="1318"/>
      <c r="M219" s="1318"/>
      <c r="N219" s="1318"/>
      <c r="O219" s="1318"/>
      <c r="P219" s="1318"/>
      <c r="Q219" s="1318"/>
      <c r="R219" s="1318"/>
      <c r="S219" s="1318"/>
      <c r="T219" s="1318"/>
      <c r="U219" s="1318"/>
      <c r="V219" s="1318"/>
      <c r="W219" s="1318"/>
      <c r="X219" s="1318"/>
      <c r="Y219" s="1318"/>
      <c r="Z219" s="1318"/>
      <c r="AA219" s="1318"/>
      <c r="AB219" s="1318"/>
      <c r="AC219" s="1318"/>
      <c r="AD219" s="1318"/>
      <c r="AE219" s="1318"/>
      <c r="AF219" s="1318"/>
      <c r="AG219" s="1318"/>
      <c r="AH219" s="1318"/>
      <c r="AI219" s="1318"/>
      <c r="AJ219" s="1318"/>
      <c r="AK219" s="1318"/>
      <c r="AL219" s="1318"/>
    </row>
    <row r="220" spans="1:38" ht="12.75">
      <c r="A220" s="405"/>
      <c r="B220" s="405"/>
      <c r="C220" s="1318"/>
      <c r="D220" s="1318"/>
      <c r="E220" s="1318"/>
      <c r="F220" s="1318"/>
      <c r="G220" s="1318"/>
      <c r="H220" s="1318"/>
      <c r="I220" s="1318"/>
      <c r="J220" s="1318"/>
      <c r="K220" s="1318"/>
      <c r="L220" s="1318"/>
      <c r="M220" s="1318"/>
      <c r="N220" s="1318"/>
      <c r="O220" s="1318"/>
      <c r="P220" s="1318"/>
      <c r="Q220" s="1318"/>
      <c r="R220" s="1318"/>
      <c r="S220" s="1318"/>
      <c r="T220" s="1318"/>
      <c r="U220" s="1318"/>
      <c r="V220" s="1318"/>
      <c r="W220" s="1318"/>
      <c r="X220" s="1318"/>
      <c r="Y220" s="1318"/>
      <c r="Z220" s="1318"/>
      <c r="AA220" s="1318"/>
      <c r="AB220" s="1318"/>
      <c r="AC220" s="1318"/>
      <c r="AD220" s="1318"/>
      <c r="AE220" s="1318"/>
      <c r="AF220" s="1318"/>
      <c r="AG220" s="1318"/>
      <c r="AH220" s="1318"/>
      <c r="AI220" s="1318"/>
      <c r="AJ220" s="1318"/>
      <c r="AK220" s="1318"/>
      <c r="AL220" s="1318"/>
    </row>
    <row r="221" spans="1:38" ht="12.75">
      <c r="A221" s="405"/>
      <c r="B221" s="405"/>
      <c r="C221" s="1318"/>
      <c r="D221" s="1318"/>
      <c r="E221" s="1318"/>
      <c r="F221" s="1318"/>
      <c r="G221" s="1318"/>
      <c r="H221" s="1318"/>
      <c r="I221" s="1318"/>
      <c r="J221" s="1318"/>
      <c r="K221" s="1318"/>
      <c r="L221" s="1318"/>
      <c r="M221" s="1318"/>
      <c r="N221" s="1318"/>
      <c r="O221" s="1318"/>
      <c r="P221" s="1318"/>
      <c r="Q221" s="1318"/>
      <c r="R221" s="1318"/>
      <c r="S221" s="1318"/>
      <c r="T221" s="1318"/>
      <c r="U221" s="1318"/>
      <c r="V221" s="1318"/>
      <c r="W221" s="1318"/>
      <c r="X221" s="1318"/>
      <c r="Y221" s="1318"/>
      <c r="Z221" s="1318"/>
      <c r="AA221" s="1318"/>
      <c r="AB221" s="1318"/>
      <c r="AC221" s="1318"/>
      <c r="AD221" s="1318"/>
      <c r="AE221" s="1318"/>
      <c r="AF221" s="1318"/>
      <c r="AG221" s="1318"/>
      <c r="AH221" s="1318"/>
      <c r="AI221" s="1318"/>
      <c r="AJ221" s="1318"/>
      <c r="AK221" s="1318"/>
      <c r="AL221" s="1318"/>
    </row>
    <row r="223" spans="1:38" ht="17.25">
      <c r="A223" s="1334" t="s">
        <v>2779</v>
      </c>
      <c r="B223" s="1334"/>
      <c r="C223" s="1334"/>
      <c r="D223" s="1334"/>
      <c r="E223" s="1334"/>
      <c r="F223" s="1334"/>
      <c r="G223" s="1334"/>
      <c r="H223" s="1334"/>
      <c r="I223" s="1334"/>
      <c r="J223" s="1334"/>
      <c r="K223" s="1334"/>
      <c r="L223" s="1334"/>
      <c r="M223" s="1334"/>
      <c r="N223" s="1334"/>
      <c r="O223" s="1334"/>
      <c r="P223" s="1334"/>
      <c r="Q223" s="1334"/>
      <c r="R223" s="1334"/>
      <c r="S223" s="1334"/>
      <c r="T223" s="1334"/>
      <c r="U223" s="1334"/>
      <c r="V223" s="1334"/>
      <c r="W223" s="1334"/>
      <c r="X223" s="1334"/>
      <c r="Y223" s="1334"/>
      <c r="Z223" s="1319" t="s">
        <v>2780</v>
      </c>
      <c r="AA223" s="1319"/>
      <c r="AB223" s="1321"/>
      <c r="AC223" s="1321"/>
      <c r="AD223" s="1321"/>
      <c r="AE223" s="1321"/>
      <c r="AF223" s="1319" t="s">
        <v>2781</v>
      </c>
      <c r="AG223" s="1319"/>
      <c r="AH223" s="1319"/>
      <c r="AI223" s="1321"/>
      <c r="AJ223" s="1321"/>
      <c r="AK223" s="1321"/>
      <c r="AL223" s="1321"/>
    </row>
    <row r="224" spans="28:38" s="410" customFormat="1" ht="12.75">
      <c r="AB224" s="411"/>
      <c r="AC224" s="411"/>
      <c r="AD224" s="411"/>
      <c r="AE224" s="411"/>
      <c r="AI224" s="411"/>
      <c r="AJ224" s="411"/>
      <c r="AK224" s="411"/>
      <c r="AL224" s="411"/>
    </row>
    <row r="225" spans="1:38" ht="12.75">
      <c r="A225" s="412"/>
      <c r="B225" s="405" t="s">
        <v>618</v>
      </c>
      <c r="C225" s="1318" t="s">
        <v>3888</v>
      </c>
      <c r="D225" s="1318"/>
      <c r="E225" s="1318"/>
      <c r="F225" s="1318"/>
      <c r="G225" s="1318"/>
      <c r="H225" s="1318"/>
      <c r="I225" s="1318"/>
      <c r="J225" s="1318"/>
      <c r="K225" s="1318"/>
      <c r="L225" s="1318"/>
      <c r="M225" s="1318"/>
      <c r="N225" s="1318"/>
      <c r="O225" s="1318"/>
      <c r="P225" s="1318"/>
      <c r="Q225" s="1318"/>
      <c r="R225" s="1318"/>
      <c r="S225" s="1318"/>
      <c r="T225" s="1318"/>
      <c r="U225" s="1318"/>
      <c r="V225" s="1318"/>
      <c r="W225" s="1318"/>
      <c r="X225" s="1318"/>
      <c r="Y225" s="1318"/>
      <c r="Z225" s="1318"/>
      <c r="AA225" s="1318"/>
      <c r="AB225" s="1318"/>
      <c r="AC225" s="1318"/>
      <c r="AD225" s="1318"/>
      <c r="AE225" s="1318"/>
      <c r="AF225" s="1318"/>
      <c r="AG225" s="1318"/>
      <c r="AH225" s="1318"/>
      <c r="AI225" s="1318"/>
      <c r="AJ225" s="1318"/>
      <c r="AK225" s="1318"/>
      <c r="AL225" s="1318"/>
    </row>
    <row r="226" spans="1:38" ht="12.75">
      <c r="A226" s="405"/>
      <c r="B226" s="405"/>
      <c r="C226" s="406"/>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6"/>
      <c r="AD226" s="406"/>
      <c r="AE226" s="406"/>
      <c r="AF226" s="406"/>
      <c r="AG226" s="406"/>
      <c r="AH226" s="406"/>
      <c r="AI226" s="406"/>
      <c r="AJ226" s="406"/>
      <c r="AK226" s="406"/>
      <c r="AL226" s="406"/>
    </row>
    <row r="227" spans="1:38" ht="12.75">
      <c r="A227" s="412"/>
      <c r="B227" s="405" t="s">
        <v>243</v>
      </c>
      <c r="C227" s="1318" t="s">
        <v>3889</v>
      </c>
      <c r="D227" s="1318"/>
      <c r="E227" s="1318"/>
      <c r="F227" s="1318"/>
      <c r="G227" s="1318"/>
      <c r="H227" s="1318"/>
      <c r="I227" s="1318"/>
      <c r="J227" s="1318"/>
      <c r="K227" s="1318"/>
      <c r="L227" s="1318"/>
      <c r="M227" s="1318"/>
      <c r="N227" s="1318"/>
      <c r="O227" s="1318"/>
      <c r="P227" s="1318"/>
      <c r="Q227" s="1318"/>
      <c r="R227" s="1318"/>
      <c r="S227" s="1318"/>
      <c r="T227" s="1318"/>
      <c r="U227" s="1318"/>
      <c r="V227" s="1318"/>
      <c r="W227" s="1318"/>
      <c r="X227" s="1318"/>
      <c r="Y227" s="1318"/>
      <c r="Z227" s="1318"/>
      <c r="AA227" s="1318"/>
      <c r="AB227" s="1318"/>
      <c r="AC227" s="1318"/>
      <c r="AD227" s="1318"/>
      <c r="AE227" s="1318"/>
      <c r="AF227" s="1318"/>
      <c r="AG227" s="1318"/>
      <c r="AH227" s="1318"/>
      <c r="AI227" s="1318"/>
      <c r="AJ227" s="1318"/>
      <c r="AK227" s="1318"/>
      <c r="AL227" s="1318"/>
    </row>
    <row r="228" spans="1:38" ht="12.75">
      <c r="A228" s="405"/>
      <c r="B228" s="405"/>
      <c r="C228" s="412"/>
      <c r="D228" s="406" t="s">
        <v>1369</v>
      </c>
      <c r="E228" s="1318" t="s">
        <v>3890</v>
      </c>
      <c r="F228" s="1318"/>
      <c r="G228" s="1318"/>
      <c r="H228" s="1318"/>
      <c r="I228" s="1318"/>
      <c r="J228" s="1318"/>
      <c r="K228" s="1318"/>
      <c r="L228" s="1318"/>
      <c r="M228" s="1318"/>
      <c r="N228" s="1318"/>
      <c r="O228" s="1318"/>
      <c r="P228" s="1318"/>
      <c r="Q228" s="1318"/>
      <c r="R228" s="1318"/>
      <c r="S228" s="1318"/>
      <c r="T228" s="1318"/>
      <c r="U228" s="1318"/>
      <c r="V228" s="1318"/>
      <c r="W228" s="1318"/>
      <c r="X228" s="1318"/>
      <c r="Y228" s="1318"/>
      <c r="Z228" s="1318"/>
      <c r="AA228" s="1318"/>
      <c r="AB228" s="1318"/>
      <c r="AC228" s="1318"/>
      <c r="AD228" s="1318"/>
      <c r="AE228" s="1318"/>
      <c r="AF228" s="1318"/>
      <c r="AG228" s="1318"/>
      <c r="AH228" s="1318"/>
      <c r="AI228" s="1318"/>
      <c r="AJ228" s="1318"/>
      <c r="AK228" s="1318"/>
      <c r="AL228" s="1318"/>
    </row>
    <row r="229" spans="1:38" ht="12.75">
      <c r="A229" s="405"/>
      <c r="B229" s="405"/>
      <c r="C229" s="406"/>
      <c r="D229" s="406"/>
      <c r="E229" s="1318"/>
      <c r="F229" s="1318"/>
      <c r="G229" s="1318"/>
      <c r="H229" s="1318"/>
      <c r="I229" s="1318"/>
      <c r="J229" s="1318"/>
      <c r="K229" s="1318"/>
      <c r="L229" s="1318"/>
      <c r="M229" s="1318"/>
      <c r="N229" s="1318"/>
      <c r="O229" s="1318"/>
      <c r="P229" s="1318"/>
      <c r="Q229" s="1318"/>
      <c r="R229" s="1318"/>
      <c r="S229" s="1318"/>
      <c r="T229" s="1318"/>
      <c r="U229" s="1318"/>
      <c r="V229" s="1318"/>
      <c r="W229" s="1318"/>
      <c r="X229" s="1318"/>
      <c r="Y229" s="1318"/>
      <c r="Z229" s="1318"/>
      <c r="AA229" s="1318"/>
      <c r="AB229" s="1318"/>
      <c r="AC229" s="1318"/>
      <c r="AD229" s="1318"/>
      <c r="AE229" s="1318"/>
      <c r="AF229" s="1318"/>
      <c r="AG229" s="1318"/>
      <c r="AH229" s="1318"/>
      <c r="AI229" s="1318"/>
      <c r="AJ229" s="1318"/>
      <c r="AK229" s="1318"/>
      <c r="AL229" s="1318"/>
    </row>
    <row r="230" spans="1:38" ht="12.75">
      <c r="A230" s="405"/>
      <c r="B230" s="405"/>
      <c r="C230" s="412"/>
      <c r="D230" s="406" t="s">
        <v>1371</v>
      </c>
      <c r="E230" s="1318" t="s">
        <v>3891</v>
      </c>
      <c r="F230" s="1318"/>
      <c r="G230" s="1318"/>
      <c r="H230" s="1318"/>
      <c r="I230" s="1318"/>
      <c r="J230" s="1318"/>
      <c r="K230" s="1318"/>
      <c r="L230" s="1318"/>
      <c r="M230" s="1318"/>
      <c r="N230" s="1318"/>
      <c r="O230" s="1318"/>
      <c r="P230" s="1318"/>
      <c r="Q230" s="1318"/>
      <c r="R230" s="1318"/>
      <c r="S230" s="1318"/>
      <c r="T230" s="1318"/>
      <c r="U230" s="1318"/>
      <c r="V230" s="1318"/>
      <c r="W230" s="1318"/>
      <c r="X230" s="1318"/>
      <c r="Y230" s="1318"/>
      <c r="Z230" s="1318"/>
      <c r="AA230" s="1318"/>
      <c r="AB230" s="1318"/>
      <c r="AC230" s="1318"/>
      <c r="AD230" s="1318"/>
      <c r="AE230" s="1318"/>
      <c r="AF230" s="1318"/>
      <c r="AG230" s="1318"/>
      <c r="AH230" s="1318"/>
      <c r="AI230" s="1318"/>
      <c r="AJ230" s="1318"/>
      <c r="AK230" s="1318"/>
      <c r="AL230" s="1318"/>
    </row>
    <row r="231" spans="1:38" ht="12.75">
      <c r="A231" s="405"/>
      <c r="B231" s="405"/>
      <c r="C231" s="406"/>
      <c r="D231" s="406"/>
      <c r="E231" s="1318"/>
      <c r="F231" s="1318"/>
      <c r="G231" s="1318"/>
      <c r="H231" s="1318"/>
      <c r="I231" s="1318"/>
      <c r="J231" s="1318"/>
      <c r="K231" s="1318"/>
      <c r="L231" s="1318"/>
      <c r="M231" s="1318"/>
      <c r="N231" s="1318"/>
      <c r="O231" s="1318"/>
      <c r="P231" s="1318"/>
      <c r="Q231" s="1318"/>
      <c r="R231" s="1318"/>
      <c r="S231" s="1318"/>
      <c r="T231" s="1318"/>
      <c r="U231" s="1318"/>
      <c r="V231" s="1318"/>
      <c r="W231" s="1318"/>
      <c r="X231" s="1318"/>
      <c r="Y231" s="1318"/>
      <c r="Z231" s="1318"/>
      <c r="AA231" s="1318"/>
      <c r="AB231" s="1318"/>
      <c r="AC231" s="1318"/>
      <c r="AD231" s="1318"/>
      <c r="AE231" s="1318"/>
      <c r="AF231" s="1318"/>
      <c r="AG231" s="1318"/>
      <c r="AH231" s="1318"/>
      <c r="AI231" s="1318"/>
      <c r="AJ231" s="1318"/>
      <c r="AK231" s="1318"/>
      <c r="AL231" s="1318"/>
    </row>
    <row r="232" spans="1:38" ht="12.75">
      <c r="A232" s="405"/>
      <c r="B232" s="405"/>
      <c r="C232" s="412"/>
      <c r="D232" s="406" t="s">
        <v>1373</v>
      </c>
      <c r="E232" s="1318" t="s">
        <v>3892</v>
      </c>
      <c r="F232" s="1318"/>
      <c r="G232" s="1318"/>
      <c r="H232" s="1318"/>
      <c r="I232" s="1318"/>
      <c r="J232" s="1318"/>
      <c r="K232" s="1318"/>
      <c r="L232" s="1318"/>
      <c r="M232" s="1318"/>
      <c r="N232" s="1318"/>
      <c r="O232" s="1318"/>
      <c r="P232" s="1318"/>
      <c r="Q232" s="1318"/>
      <c r="R232" s="1318"/>
      <c r="S232" s="1318"/>
      <c r="T232" s="1318"/>
      <c r="U232" s="1318"/>
      <c r="V232" s="1318"/>
      <c r="W232" s="1318"/>
      <c r="X232" s="1318"/>
      <c r="Y232" s="1318"/>
      <c r="Z232" s="1318"/>
      <c r="AA232" s="1318"/>
      <c r="AB232" s="1318"/>
      <c r="AC232" s="1318"/>
      <c r="AD232" s="1318"/>
      <c r="AE232" s="1318"/>
      <c r="AF232" s="1318"/>
      <c r="AG232" s="1318"/>
      <c r="AH232" s="1318"/>
      <c r="AI232" s="1318"/>
      <c r="AJ232" s="1318"/>
      <c r="AK232" s="1318"/>
      <c r="AL232" s="1318"/>
    </row>
    <row r="233" spans="1:38" ht="12.75">
      <c r="A233" s="405"/>
      <c r="B233" s="405"/>
      <c r="C233" s="406"/>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06"/>
      <c r="AD233" s="406"/>
      <c r="AE233" s="406"/>
      <c r="AF233" s="406"/>
      <c r="AG233" s="406"/>
      <c r="AH233" s="406"/>
      <c r="AI233" s="406"/>
      <c r="AJ233" s="406"/>
      <c r="AK233" s="406"/>
      <c r="AL233" s="406"/>
    </row>
    <row r="234" spans="1:38" ht="12.75">
      <c r="A234" s="412"/>
      <c r="B234" s="405" t="s">
        <v>245</v>
      </c>
      <c r="C234" s="1318" t="s">
        <v>3782</v>
      </c>
      <c r="D234" s="1318"/>
      <c r="E234" s="1318"/>
      <c r="F234" s="1318"/>
      <c r="G234" s="1318"/>
      <c r="H234" s="1318"/>
      <c r="I234" s="1318"/>
      <c r="J234" s="1318"/>
      <c r="K234" s="1318"/>
      <c r="L234" s="1318"/>
      <c r="M234" s="1318"/>
      <c r="N234" s="1318"/>
      <c r="O234" s="1318"/>
      <c r="P234" s="1318"/>
      <c r="Q234" s="1318"/>
      <c r="R234" s="1318"/>
      <c r="S234" s="1318"/>
      <c r="T234" s="1318"/>
      <c r="U234" s="1318"/>
      <c r="V234" s="1318"/>
      <c r="W234" s="1318"/>
      <c r="X234" s="1318"/>
      <c r="Y234" s="1318"/>
      <c r="Z234" s="1318"/>
      <c r="AA234" s="1318"/>
      <c r="AB234" s="1318"/>
      <c r="AC234" s="1318"/>
      <c r="AD234" s="1318"/>
      <c r="AE234" s="1318"/>
      <c r="AF234" s="1318"/>
      <c r="AG234" s="1318"/>
      <c r="AH234" s="1318"/>
      <c r="AI234" s="1318"/>
      <c r="AJ234" s="1318"/>
      <c r="AK234" s="1318"/>
      <c r="AL234" s="1318"/>
    </row>
    <row r="235" spans="1:38" ht="12.75">
      <c r="A235" s="405"/>
      <c r="B235" s="405"/>
      <c r="C235" s="406"/>
      <c r="D235" s="406"/>
      <c r="E235" s="406"/>
      <c r="F235" s="406"/>
      <c r="G235" s="406"/>
      <c r="H235" s="406"/>
      <c r="I235" s="406"/>
      <c r="J235" s="406"/>
      <c r="K235" s="406"/>
      <c r="L235" s="406"/>
      <c r="M235" s="406"/>
      <c r="N235" s="406"/>
      <c r="O235" s="406"/>
      <c r="P235" s="406"/>
      <c r="Q235" s="406"/>
      <c r="R235" s="406"/>
      <c r="S235" s="406"/>
      <c r="T235" s="406"/>
      <c r="U235" s="406"/>
      <c r="V235" s="406"/>
      <c r="W235" s="406"/>
      <c r="X235" s="406"/>
      <c r="Y235" s="406"/>
      <c r="Z235" s="406"/>
      <c r="AA235" s="406"/>
      <c r="AB235" s="406"/>
      <c r="AC235" s="406"/>
      <c r="AD235" s="406"/>
      <c r="AE235" s="406"/>
      <c r="AF235" s="406"/>
      <c r="AG235" s="406"/>
      <c r="AH235" s="406"/>
      <c r="AI235" s="406"/>
      <c r="AJ235" s="406"/>
      <c r="AK235" s="406"/>
      <c r="AL235" s="406"/>
    </row>
  </sheetData>
  <sheetProtection password="CBEB" sheet="1" objects="1" scenarios="1"/>
  <mergeCells count="364">
    <mergeCell ref="AK84:AL84"/>
    <mergeCell ref="A86:AL86"/>
    <mergeCell ref="B88:AC88"/>
    <mergeCell ref="AE88:AF88"/>
    <mergeCell ref="AH88:AI88"/>
    <mergeCell ref="AK88:AL88"/>
    <mergeCell ref="B84:AC84"/>
    <mergeCell ref="AE84:AF84"/>
    <mergeCell ref="B52:AC52"/>
    <mergeCell ref="B89:AC90"/>
    <mergeCell ref="B92:AC92"/>
    <mergeCell ref="AE92:AF92"/>
    <mergeCell ref="AH92:AI92"/>
    <mergeCell ref="AH84:AI84"/>
    <mergeCell ref="B54:AC54"/>
    <mergeCell ref="AE54:AF54"/>
    <mergeCell ref="B72:AC73"/>
    <mergeCell ref="AE72:AF72"/>
    <mergeCell ref="B70:AC70"/>
    <mergeCell ref="AE70:AF70"/>
    <mergeCell ref="AE55:AF55"/>
    <mergeCell ref="B55:AC55"/>
    <mergeCell ref="AK63:AL63"/>
    <mergeCell ref="AE63:AF63"/>
    <mergeCell ref="AH63:AI63"/>
    <mergeCell ref="AH55:AI55"/>
    <mergeCell ref="AK55:AL55"/>
    <mergeCell ref="AK68:AL68"/>
    <mergeCell ref="A24:Y24"/>
    <mergeCell ref="Z24:AA24"/>
    <mergeCell ref="AB24:AE24"/>
    <mergeCell ref="AF24:AH24"/>
    <mergeCell ref="AI24:AL24"/>
    <mergeCell ref="C26:AL27"/>
    <mergeCell ref="C45:AL46"/>
    <mergeCell ref="AH54:AI54"/>
    <mergeCell ref="AK54:AL54"/>
    <mergeCell ref="AH70:AI70"/>
    <mergeCell ref="AK70:AL70"/>
    <mergeCell ref="AK75:AL75"/>
    <mergeCell ref="AE75:AF75"/>
    <mergeCell ref="AH75:AI75"/>
    <mergeCell ref="AK72:AL72"/>
    <mergeCell ref="AH72:AI72"/>
    <mergeCell ref="B75:AC76"/>
    <mergeCell ref="A78:AL78"/>
    <mergeCell ref="B63:AC64"/>
    <mergeCell ref="B66:AC66"/>
    <mergeCell ref="AE66:AF66"/>
    <mergeCell ref="AH66:AI66"/>
    <mergeCell ref="AK66:AL66"/>
    <mergeCell ref="B68:AC68"/>
    <mergeCell ref="AE68:AF68"/>
    <mergeCell ref="AH68:AI68"/>
    <mergeCell ref="A48:AL48"/>
    <mergeCell ref="B49:AC49"/>
    <mergeCell ref="AE49:AF49"/>
    <mergeCell ref="AK53:AL53"/>
    <mergeCell ref="AH56:AI56"/>
    <mergeCell ref="C42:AL43"/>
    <mergeCell ref="AE50:AF50"/>
    <mergeCell ref="AH50:AI50"/>
    <mergeCell ref="AK50:AL50"/>
    <mergeCell ref="B51:AC51"/>
    <mergeCell ref="C16:AL16"/>
    <mergeCell ref="C18:AL18"/>
    <mergeCell ref="C20:AL20"/>
    <mergeCell ref="C22:AL22"/>
    <mergeCell ref="C29:AL29"/>
    <mergeCell ref="B56:AC56"/>
    <mergeCell ref="AH52:AI52"/>
    <mergeCell ref="B53:AC53"/>
    <mergeCell ref="AE53:AF53"/>
    <mergeCell ref="AH53:AI53"/>
    <mergeCell ref="A10:F10"/>
    <mergeCell ref="G10:AL10"/>
    <mergeCell ref="A11:F11"/>
    <mergeCell ref="G11:AL11"/>
    <mergeCell ref="A8:F8"/>
    <mergeCell ref="G8:AL8"/>
    <mergeCell ref="A9:F9"/>
    <mergeCell ref="G9:AL9"/>
    <mergeCell ref="E3:AH3"/>
    <mergeCell ref="AI3:AL3"/>
    <mergeCell ref="A5:AL5"/>
    <mergeCell ref="A7:F7"/>
    <mergeCell ref="G7:AL7"/>
    <mergeCell ref="E1:AH1"/>
    <mergeCell ref="AI1:AL1"/>
    <mergeCell ref="E2:AH2"/>
    <mergeCell ref="AI2:AL2"/>
    <mergeCell ref="AH49:AI49"/>
    <mergeCell ref="AK49:AL49"/>
    <mergeCell ref="B50:AC50"/>
    <mergeCell ref="A12:F12"/>
    <mergeCell ref="G12:AL12"/>
    <mergeCell ref="A14:Y14"/>
    <mergeCell ref="Z14:AA14"/>
    <mergeCell ref="AB14:AE14"/>
    <mergeCell ref="AF14:AH14"/>
    <mergeCell ref="AI14:AL14"/>
    <mergeCell ref="C31:AL31"/>
    <mergeCell ref="D32:AL32"/>
    <mergeCell ref="D33:AL33"/>
    <mergeCell ref="D35:AL35"/>
    <mergeCell ref="C37:AL37"/>
    <mergeCell ref="C39:AL40"/>
    <mergeCell ref="D34:AL34"/>
    <mergeCell ref="B60:AC61"/>
    <mergeCell ref="AE60:AF60"/>
    <mergeCell ref="AH60:AI60"/>
    <mergeCell ref="AK60:AL60"/>
    <mergeCell ref="AE56:AF56"/>
    <mergeCell ref="AH51:AI51"/>
    <mergeCell ref="AK51:AL51"/>
    <mergeCell ref="AE52:AF52"/>
    <mergeCell ref="AK52:AL52"/>
    <mergeCell ref="AE51:AF51"/>
    <mergeCell ref="B96:AC96"/>
    <mergeCell ref="AE96:AF96"/>
    <mergeCell ref="AH96:AI96"/>
    <mergeCell ref="AK96:AL96"/>
    <mergeCell ref="A98:AL98"/>
    <mergeCell ref="AK56:AL56"/>
    <mergeCell ref="B58:AC58"/>
    <mergeCell ref="AE58:AF58"/>
    <mergeCell ref="AH58:AI58"/>
    <mergeCell ref="AK58:AL58"/>
    <mergeCell ref="AK92:AL92"/>
    <mergeCell ref="B100:AC100"/>
    <mergeCell ref="AE100:AF100"/>
    <mergeCell ref="AH100:AI100"/>
    <mergeCell ref="AK100:AL100"/>
    <mergeCell ref="B102:AC102"/>
    <mergeCell ref="AE102:AF102"/>
    <mergeCell ref="AH102:AI102"/>
    <mergeCell ref="AK102:AL102"/>
    <mergeCell ref="B93:AC94"/>
    <mergeCell ref="B82:AC82"/>
    <mergeCell ref="AE82:AF82"/>
    <mergeCell ref="B80:AC80"/>
    <mergeCell ref="AE80:AF80"/>
    <mergeCell ref="AH80:AI80"/>
    <mergeCell ref="AK80:AL80"/>
    <mergeCell ref="AH82:AI82"/>
    <mergeCell ref="AK82:AL82"/>
    <mergeCell ref="B104:AC104"/>
    <mergeCell ref="AE104:AF104"/>
    <mergeCell ref="AH104:AI104"/>
    <mergeCell ref="AK104:AL104"/>
    <mergeCell ref="B106:AC106"/>
    <mergeCell ref="AE106:AF106"/>
    <mergeCell ref="AH106:AI106"/>
    <mergeCell ref="AK106:AL106"/>
    <mergeCell ref="B108:AC108"/>
    <mergeCell ref="AE108:AF108"/>
    <mergeCell ref="AH108:AI108"/>
    <mergeCell ref="AK108:AL108"/>
    <mergeCell ref="B110:AC110"/>
    <mergeCell ref="AE110:AF110"/>
    <mergeCell ref="AH110:AI110"/>
    <mergeCell ref="AK110:AL110"/>
    <mergeCell ref="B112:AC112"/>
    <mergeCell ref="C113:AC113"/>
    <mergeCell ref="AE113:AF113"/>
    <mergeCell ref="AH113:AI113"/>
    <mergeCell ref="AK113:AL113"/>
    <mergeCell ref="C114:AC114"/>
    <mergeCell ref="AE114:AF114"/>
    <mergeCell ref="AH114:AI114"/>
    <mergeCell ref="AK114:AL114"/>
    <mergeCell ref="C115:AC115"/>
    <mergeCell ref="AE115:AF115"/>
    <mergeCell ref="AH115:AI115"/>
    <mergeCell ref="AK115:AL115"/>
    <mergeCell ref="C116:AC116"/>
    <mergeCell ref="AE116:AF116"/>
    <mergeCell ref="AH116:AI116"/>
    <mergeCell ref="AK116:AL116"/>
    <mergeCell ref="C117:AC117"/>
    <mergeCell ref="AE117:AF117"/>
    <mergeCell ref="AH117:AI117"/>
    <mergeCell ref="AK117:AL117"/>
    <mergeCell ref="C118:AC118"/>
    <mergeCell ref="AE118:AF118"/>
    <mergeCell ref="AH118:AI118"/>
    <mergeCell ref="AK118:AL118"/>
    <mergeCell ref="A120:AL120"/>
    <mergeCell ref="B122:AC122"/>
    <mergeCell ref="AE122:AF122"/>
    <mergeCell ref="AH122:AI122"/>
    <mergeCell ref="AK122:AL122"/>
    <mergeCell ref="B124:AC124"/>
    <mergeCell ref="AE124:AF124"/>
    <mergeCell ref="AH124:AI124"/>
    <mergeCell ref="AK124:AL124"/>
    <mergeCell ref="B126:AC126"/>
    <mergeCell ref="AE126:AF126"/>
    <mergeCell ref="AH126:AI126"/>
    <mergeCell ref="AK126:AL126"/>
    <mergeCell ref="B128:AC128"/>
    <mergeCell ref="AE128:AF128"/>
    <mergeCell ref="AH128:AI128"/>
    <mergeCell ref="AK128:AL128"/>
    <mergeCell ref="B130:AC130"/>
    <mergeCell ref="AE130:AF130"/>
    <mergeCell ref="AH130:AI130"/>
    <mergeCell ref="AK130:AL130"/>
    <mergeCell ref="A132:AL132"/>
    <mergeCell ref="B134:AC134"/>
    <mergeCell ref="AE134:AF134"/>
    <mergeCell ref="AH134:AI134"/>
    <mergeCell ref="AK134:AL134"/>
    <mergeCell ref="B136:AC136"/>
    <mergeCell ref="AE136:AF136"/>
    <mergeCell ref="AH136:AI136"/>
    <mergeCell ref="AK136:AL136"/>
    <mergeCell ref="B138:AC139"/>
    <mergeCell ref="AE138:AF138"/>
    <mergeCell ref="AH138:AI138"/>
    <mergeCell ref="AK138:AL138"/>
    <mergeCell ref="B141:AC142"/>
    <mergeCell ref="AE141:AF141"/>
    <mergeCell ref="AH141:AI141"/>
    <mergeCell ref="AK141:AL141"/>
    <mergeCell ref="B144:AC145"/>
    <mergeCell ref="AE144:AF144"/>
    <mergeCell ref="AH144:AI144"/>
    <mergeCell ref="AK144:AL144"/>
    <mergeCell ref="B147:AC147"/>
    <mergeCell ref="AE147:AF147"/>
    <mergeCell ref="AH147:AI147"/>
    <mergeCell ref="AK147:AL147"/>
    <mergeCell ref="B149:AC149"/>
    <mergeCell ref="AE149:AF149"/>
    <mergeCell ref="AH149:AI149"/>
    <mergeCell ref="AK149:AL149"/>
    <mergeCell ref="A151:AL151"/>
    <mergeCell ref="B153:AC153"/>
    <mergeCell ref="AE153:AF153"/>
    <mergeCell ref="AH153:AI153"/>
    <mergeCell ref="AK153:AL153"/>
    <mergeCell ref="B155:AC156"/>
    <mergeCell ref="AE155:AF155"/>
    <mergeCell ref="AH155:AI155"/>
    <mergeCell ref="AK155:AL155"/>
    <mergeCell ref="B158:AC158"/>
    <mergeCell ref="AE158:AF158"/>
    <mergeCell ref="AH158:AI158"/>
    <mergeCell ref="AK158:AL158"/>
    <mergeCell ref="B159:AC159"/>
    <mergeCell ref="AE159:AF159"/>
    <mergeCell ref="AH159:AI159"/>
    <mergeCell ref="AK159:AL159"/>
    <mergeCell ref="B161:AC161"/>
    <mergeCell ref="AE161:AF161"/>
    <mergeCell ref="AH161:AI161"/>
    <mergeCell ref="AK161:AL161"/>
    <mergeCell ref="B163:AC164"/>
    <mergeCell ref="AE163:AF163"/>
    <mergeCell ref="AH163:AI163"/>
    <mergeCell ref="AK163:AL163"/>
    <mergeCell ref="B166:AC166"/>
    <mergeCell ref="AE166:AF166"/>
    <mergeCell ref="AH166:AI166"/>
    <mergeCell ref="AK166:AL166"/>
    <mergeCell ref="B168:AC168"/>
    <mergeCell ref="AE168:AF168"/>
    <mergeCell ref="AH168:AI168"/>
    <mergeCell ref="AK168:AL168"/>
    <mergeCell ref="B170:AC170"/>
    <mergeCell ref="AE170:AF170"/>
    <mergeCell ref="AH170:AI170"/>
    <mergeCell ref="AK170:AL170"/>
    <mergeCell ref="B171:AC172"/>
    <mergeCell ref="AE171:AF171"/>
    <mergeCell ref="AH171:AI171"/>
    <mergeCell ref="AK171:AL171"/>
    <mergeCell ref="B173:AC173"/>
    <mergeCell ref="AE173:AF173"/>
    <mergeCell ref="AH173:AI173"/>
    <mergeCell ref="AK173:AL173"/>
    <mergeCell ref="B175:AC175"/>
    <mergeCell ref="AE175:AF175"/>
    <mergeCell ref="AH175:AI175"/>
    <mergeCell ref="AK175:AL175"/>
    <mergeCell ref="A177:AL177"/>
    <mergeCell ref="B179:AC179"/>
    <mergeCell ref="AE179:AF179"/>
    <mergeCell ref="AH179:AI179"/>
    <mergeCell ref="AK179:AL179"/>
    <mergeCell ref="B181:AC181"/>
    <mergeCell ref="AE181:AF181"/>
    <mergeCell ref="AH181:AI181"/>
    <mergeCell ref="AK181:AL181"/>
    <mergeCell ref="B182:AC183"/>
    <mergeCell ref="B185:AC185"/>
    <mergeCell ref="AE185:AF185"/>
    <mergeCell ref="AH185:AI185"/>
    <mergeCell ref="AK185:AL185"/>
    <mergeCell ref="B187:AC188"/>
    <mergeCell ref="AE187:AF187"/>
    <mergeCell ref="AH187:AI187"/>
    <mergeCell ref="AK187:AL187"/>
    <mergeCell ref="B190:AC190"/>
    <mergeCell ref="AE190:AF190"/>
    <mergeCell ref="AH190:AI190"/>
    <mergeCell ref="AK190:AL190"/>
    <mergeCell ref="B192:AC192"/>
    <mergeCell ref="AE192:AF192"/>
    <mergeCell ref="AH192:AI192"/>
    <mergeCell ref="AK192:AL192"/>
    <mergeCell ref="B194:AC194"/>
    <mergeCell ref="AE194:AF194"/>
    <mergeCell ref="AH194:AI194"/>
    <mergeCell ref="AK194:AL194"/>
    <mergeCell ref="B196:AC196"/>
    <mergeCell ref="AE196:AF196"/>
    <mergeCell ref="AH196:AI196"/>
    <mergeCell ref="AK196:AL196"/>
    <mergeCell ref="B197:AC197"/>
    <mergeCell ref="AE197:AF197"/>
    <mergeCell ref="AH197:AI197"/>
    <mergeCell ref="AK197:AL197"/>
    <mergeCell ref="B199:AC199"/>
    <mergeCell ref="AE199:AF199"/>
    <mergeCell ref="AH199:AI199"/>
    <mergeCell ref="AK199:AL199"/>
    <mergeCell ref="B201:AC201"/>
    <mergeCell ref="AE201:AF201"/>
    <mergeCell ref="AH201:AI201"/>
    <mergeCell ref="AK201:AL201"/>
    <mergeCell ref="B203:AC203"/>
    <mergeCell ref="AE203:AF203"/>
    <mergeCell ref="AH203:AI203"/>
    <mergeCell ref="AK203:AL203"/>
    <mergeCell ref="A205:AL205"/>
    <mergeCell ref="B207:AC207"/>
    <mergeCell ref="AE207:AF207"/>
    <mergeCell ref="AH207:AI207"/>
    <mergeCell ref="AK207:AL207"/>
    <mergeCell ref="B209:AC210"/>
    <mergeCell ref="AE209:AF209"/>
    <mergeCell ref="AH209:AI209"/>
    <mergeCell ref="AK209:AL209"/>
    <mergeCell ref="AF223:AH223"/>
    <mergeCell ref="AI212:AL212"/>
    <mergeCell ref="C214:AL215"/>
    <mergeCell ref="C217:AL217"/>
    <mergeCell ref="C219:AL221"/>
    <mergeCell ref="A212:Y212"/>
    <mergeCell ref="Z212:AA212"/>
    <mergeCell ref="AB212:AE212"/>
    <mergeCell ref="AF212:AH212"/>
    <mergeCell ref="E230:AL231"/>
    <mergeCell ref="E232:AL232"/>
    <mergeCell ref="C234:AL234"/>
    <mergeCell ref="AI223:AL223"/>
    <mergeCell ref="C225:AL225"/>
    <mergeCell ref="C227:AL227"/>
    <mergeCell ref="E228:AL229"/>
    <mergeCell ref="A223:Y223"/>
    <mergeCell ref="Z223:AA223"/>
    <mergeCell ref="AB223:AE223"/>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211" max="255" man="1"/>
  </rowBreaks>
</worksheet>
</file>

<file path=xl/worksheets/sheet15.xml><?xml version="1.0" encoding="utf-8"?>
<worksheet xmlns="http://schemas.openxmlformats.org/spreadsheetml/2006/main" xmlns:r="http://schemas.openxmlformats.org/officeDocument/2006/relationships">
  <dimension ref="A1:AZ32"/>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3893</v>
      </c>
      <c r="AJ1" s="1291"/>
      <c r="AK1" s="1291"/>
      <c r="AL1" s="1291"/>
    </row>
    <row r="2" spans="1:38" ht="12.75">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2385</v>
      </c>
      <c r="AJ2" s="1291"/>
      <c r="AK2" s="1291"/>
      <c r="AL2" s="1291"/>
    </row>
    <row r="3" spans="1:38" ht="12.75">
      <c r="A3" s="358"/>
      <c r="B3" s="273"/>
      <c r="C3" s="273"/>
      <c r="D3" s="273"/>
      <c r="E3" s="1290" t="s">
        <v>2383</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290" t="s">
        <v>3894</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2.75">
      <c r="A7" s="1319" t="s">
        <v>2665</v>
      </c>
      <c r="B7" s="1319"/>
      <c r="C7" s="1319"/>
      <c r="D7" s="1319"/>
      <c r="E7" s="1319"/>
      <c r="F7" s="1319"/>
      <c r="G7" s="1332" t="str">
        <f>Input!F2</f>
        <v>Lincoln</v>
      </c>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row>
    <row r="8" spans="1:38" ht="12.75">
      <c r="A8" s="1319" t="s">
        <v>2340</v>
      </c>
      <c r="B8" s="1319"/>
      <c r="C8" s="1319"/>
      <c r="D8" s="1319"/>
      <c r="E8" s="1319"/>
      <c r="F8" s="1319"/>
      <c r="G8" s="1332">
        <f>Input!F11</f>
        <v>25546</v>
      </c>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row>
    <row r="9" spans="1:38" ht="12.75">
      <c r="A9" s="1319" t="s">
        <v>2778</v>
      </c>
      <c r="B9" s="1319"/>
      <c r="C9" s="1319"/>
      <c r="D9" s="1319"/>
      <c r="E9" s="1319"/>
      <c r="F9" s="1319"/>
      <c r="G9" s="1332" t="str">
        <f>Input!F6</f>
        <v>8-163.00</v>
      </c>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row>
    <row r="10" spans="1:38" ht="12.75">
      <c r="A10" s="1319" t="s">
        <v>1203</v>
      </c>
      <c r="B10" s="1319"/>
      <c r="C10" s="1319"/>
      <c r="D10" s="1319"/>
      <c r="E10" s="1319"/>
      <c r="F10" s="1319"/>
      <c r="G10" s="1337" t="s">
        <v>405</v>
      </c>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row>
    <row r="11" spans="1:38" ht="12.75">
      <c r="A11" s="1319" t="s">
        <v>615</v>
      </c>
      <c r="B11" s="1319"/>
      <c r="C11" s="1319"/>
      <c r="D11" s="1319"/>
      <c r="E11" s="1319"/>
      <c r="F11" s="1319"/>
      <c r="G11" s="1330" t="s">
        <v>405</v>
      </c>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row>
    <row r="12" spans="1:38" ht="12.75">
      <c r="A12" s="1319" t="s">
        <v>616</v>
      </c>
      <c r="B12" s="1319"/>
      <c r="C12" s="1319"/>
      <c r="D12" s="1319"/>
      <c r="E12" s="1319"/>
      <c r="F12" s="1319"/>
      <c r="G12" s="1331" t="s">
        <v>405</v>
      </c>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row>
    <row r="14" spans="1:38" ht="17.25">
      <c r="A14" s="1334" t="s">
        <v>2779</v>
      </c>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41" t="s">
        <v>2780</v>
      </c>
      <c r="AA14" s="1341"/>
      <c r="AB14" s="1342"/>
      <c r="AC14" s="1342"/>
      <c r="AD14" s="1342"/>
      <c r="AE14" s="1342"/>
      <c r="AF14" s="1341" t="s">
        <v>2781</v>
      </c>
      <c r="AG14" s="1341"/>
      <c r="AH14" s="1341"/>
      <c r="AI14" s="1342"/>
      <c r="AJ14" s="1342"/>
      <c r="AK14" s="1342"/>
      <c r="AL14" s="1342"/>
    </row>
    <row r="15" spans="28:38" s="410" customFormat="1" ht="12.75">
      <c r="AB15" s="411"/>
      <c r="AC15" s="411"/>
      <c r="AD15" s="411"/>
      <c r="AE15" s="411"/>
      <c r="AI15" s="411"/>
      <c r="AJ15" s="411"/>
      <c r="AK15" s="411"/>
      <c r="AL15" s="411"/>
    </row>
    <row r="16" spans="1:38" ht="12.75">
      <c r="A16" s="412"/>
      <c r="B16" s="405" t="s">
        <v>618</v>
      </c>
      <c r="C16" s="1319" t="s">
        <v>2782</v>
      </c>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row>
    <row r="17" spans="1:2" ht="12.75">
      <c r="A17" s="405"/>
      <c r="B17" s="405"/>
    </row>
    <row r="18" spans="1:52" ht="12.75">
      <c r="A18" s="412"/>
      <c r="B18" s="405" t="s">
        <v>243</v>
      </c>
      <c r="C18" s="1319" t="s">
        <v>1364</v>
      </c>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O18" s="413"/>
      <c r="AP18" s="413"/>
      <c r="AQ18" s="413"/>
      <c r="AR18" s="413"/>
      <c r="AS18" s="413"/>
      <c r="AT18" s="413"/>
      <c r="AU18" s="413"/>
      <c r="AV18" s="413"/>
      <c r="AW18" s="413"/>
      <c r="AX18" s="413"/>
      <c r="AY18" s="413"/>
      <c r="AZ18" s="413"/>
    </row>
    <row r="20" spans="1:38" ht="17.25">
      <c r="A20" s="1334" t="s">
        <v>1365</v>
      </c>
      <c r="B20" s="1334"/>
      <c r="C20" s="1334"/>
      <c r="D20" s="1334"/>
      <c r="E20" s="1334"/>
      <c r="F20" s="1334"/>
      <c r="G20" s="1334"/>
      <c r="H20" s="1334"/>
      <c r="I20" s="1334"/>
      <c r="J20" s="1334"/>
      <c r="K20" s="1334"/>
      <c r="L20" s="1334"/>
      <c r="M20" s="1334"/>
      <c r="N20" s="1334"/>
      <c r="O20" s="1334"/>
      <c r="P20" s="1334"/>
      <c r="Q20" s="1334"/>
      <c r="R20" s="1334"/>
      <c r="S20" s="1334"/>
      <c r="T20" s="1334"/>
      <c r="U20" s="1334"/>
      <c r="V20" s="1334"/>
      <c r="W20" s="1334"/>
      <c r="X20" s="1334"/>
      <c r="Y20" s="1334"/>
      <c r="Z20" s="1341" t="s">
        <v>2780</v>
      </c>
      <c r="AA20" s="1341"/>
      <c r="AB20" s="1342"/>
      <c r="AC20" s="1342"/>
      <c r="AD20" s="1342"/>
      <c r="AE20" s="1342"/>
      <c r="AF20" s="1341" t="s">
        <v>2781</v>
      </c>
      <c r="AG20" s="1341"/>
      <c r="AH20" s="1341"/>
      <c r="AI20" s="1342"/>
      <c r="AJ20" s="1342"/>
      <c r="AK20" s="1342"/>
      <c r="AL20" s="1342"/>
    </row>
    <row r="21" spans="28:38" s="410" customFormat="1" ht="12.75">
      <c r="AB21" s="411"/>
      <c r="AC21" s="411"/>
      <c r="AD21" s="411"/>
      <c r="AE21" s="411"/>
      <c r="AI21" s="411"/>
      <c r="AJ21" s="411"/>
      <c r="AK21" s="411"/>
      <c r="AL21" s="411"/>
    </row>
    <row r="22" spans="1:38" ht="12.75">
      <c r="A22" s="412"/>
      <c r="B22" s="405" t="s">
        <v>618</v>
      </c>
      <c r="C22" s="1318" t="s">
        <v>428</v>
      </c>
      <c r="D22" s="1318"/>
      <c r="E22" s="1318"/>
      <c r="F22" s="1318"/>
      <c r="G22" s="1318"/>
      <c r="H22" s="1318"/>
      <c r="I22" s="1318"/>
      <c r="J22" s="1318"/>
      <c r="K22" s="1318"/>
      <c r="L22" s="1318"/>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18"/>
      <c r="AL22" s="1318"/>
    </row>
    <row r="23" spans="1:38" ht="12.75">
      <c r="A23" s="405"/>
      <c r="B23" s="405"/>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row>
    <row r="24" spans="1:38" ht="12.75">
      <c r="A24" s="412"/>
      <c r="B24" s="405" t="s">
        <v>243</v>
      </c>
      <c r="C24" s="1318" t="s">
        <v>429</v>
      </c>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c r="AD24" s="1318"/>
      <c r="AE24" s="1318"/>
      <c r="AF24" s="1318"/>
      <c r="AG24" s="1318"/>
      <c r="AH24" s="1318"/>
      <c r="AI24" s="1318"/>
      <c r="AJ24" s="1318"/>
      <c r="AK24" s="1318"/>
      <c r="AL24" s="1318"/>
    </row>
    <row r="25" spans="1:29" ht="12.75">
      <c r="A25" s="414"/>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row>
    <row r="26" spans="1:38" ht="17.25">
      <c r="A26" s="1334" t="s">
        <v>430</v>
      </c>
      <c r="B26" s="1334"/>
      <c r="C26" s="1334"/>
      <c r="D26" s="1334"/>
      <c r="E26" s="1334"/>
      <c r="F26" s="1334"/>
      <c r="G26" s="1334"/>
      <c r="H26" s="1334"/>
      <c r="I26" s="1334"/>
      <c r="J26" s="1334"/>
      <c r="K26" s="1334"/>
      <c r="L26" s="1334"/>
      <c r="M26" s="1334"/>
      <c r="N26" s="1334"/>
      <c r="O26" s="1334"/>
      <c r="P26" s="1334"/>
      <c r="Q26" s="1334"/>
      <c r="R26" s="1334"/>
      <c r="S26" s="1334"/>
      <c r="T26" s="1334"/>
      <c r="U26" s="1334"/>
      <c r="V26" s="1334"/>
      <c r="W26" s="1334"/>
      <c r="X26" s="1334"/>
      <c r="Y26" s="1334"/>
      <c r="Z26" s="1341" t="s">
        <v>2780</v>
      </c>
      <c r="AA26" s="1341"/>
      <c r="AB26" s="1342"/>
      <c r="AC26" s="1342"/>
      <c r="AD26" s="1342"/>
      <c r="AE26" s="1342"/>
      <c r="AF26" s="1341" t="s">
        <v>2781</v>
      </c>
      <c r="AG26" s="1341"/>
      <c r="AH26" s="1341"/>
      <c r="AI26" s="1342"/>
      <c r="AJ26" s="1342"/>
      <c r="AK26" s="1342"/>
      <c r="AL26" s="1342"/>
    </row>
    <row r="27" spans="28:38" s="410" customFormat="1" ht="12.75">
      <c r="AB27" s="411"/>
      <c r="AC27" s="411"/>
      <c r="AD27" s="411"/>
      <c r="AE27" s="411"/>
      <c r="AI27" s="411"/>
      <c r="AJ27" s="411"/>
      <c r="AK27" s="411"/>
      <c r="AL27" s="411"/>
    </row>
    <row r="28" spans="1:38" ht="12.75">
      <c r="A28" s="412"/>
      <c r="B28" s="405" t="s">
        <v>618</v>
      </c>
      <c r="C28" s="1318" t="s">
        <v>3783</v>
      </c>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18"/>
      <c r="AL28" s="1318"/>
    </row>
    <row r="29" spans="1:2" ht="12.75">
      <c r="A29" s="405"/>
      <c r="B29" s="405"/>
    </row>
    <row r="30" spans="1:38" ht="12.75">
      <c r="A30" s="412"/>
      <c r="B30" s="405" t="s">
        <v>243</v>
      </c>
      <c r="C30" s="1319" t="s">
        <v>431</v>
      </c>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row>
    <row r="31" spans="1:2" ht="12.75">
      <c r="A31" s="405"/>
      <c r="B31" s="405"/>
    </row>
    <row r="32" spans="1:38" ht="12.75">
      <c r="A32" s="412"/>
      <c r="B32" s="405" t="s">
        <v>245</v>
      </c>
      <c r="C32" s="1318" t="s">
        <v>432</v>
      </c>
      <c r="D32" s="1318"/>
      <c r="E32" s="1318"/>
      <c r="F32" s="1318"/>
      <c r="G32" s="1318"/>
      <c r="H32" s="1318"/>
      <c r="I32" s="1318"/>
      <c r="J32" s="1318"/>
      <c r="K32" s="1318"/>
      <c r="L32" s="1318"/>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18"/>
      <c r="AL32" s="1318"/>
    </row>
  </sheetData>
  <sheetProtection password="CBEB" sheet="1" objects="1" scenarios="1"/>
  <mergeCells count="41">
    <mergeCell ref="AF20:AH20"/>
    <mergeCell ref="A8:F8"/>
    <mergeCell ref="G8:AL8"/>
    <mergeCell ref="AB20:AE20"/>
    <mergeCell ref="A12:F12"/>
    <mergeCell ref="G12:AL12"/>
    <mergeCell ref="C32:AL32"/>
    <mergeCell ref="Z14:AA14"/>
    <mergeCell ref="AB14:AE14"/>
    <mergeCell ref="AF14:AH14"/>
    <mergeCell ref="AI14:AL14"/>
    <mergeCell ref="C28:AL28"/>
    <mergeCell ref="C16:AL16"/>
    <mergeCell ref="C18:AL18"/>
    <mergeCell ref="A20:Y20"/>
    <mergeCell ref="Z20:AA20"/>
    <mergeCell ref="E1:AH1"/>
    <mergeCell ref="AI1:AL1"/>
    <mergeCell ref="E2:AH2"/>
    <mergeCell ref="AI2:AL2"/>
    <mergeCell ref="E3:AH3"/>
    <mergeCell ref="A5:AL5"/>
    <mergeCell ref="AI3:AL3"/>
    <mergeCell ref="C30:AL30"/>
    <mergeCell ref="Z26:AA26"/>
    <mergeCell ref="AB26:AE26"/>
    <mergeCell ref="C22:AL22"/>
    <mergeCell ref="C24:AL24"/>
    <mergeCell ref="A14:Y14"/>
    <mergeCell ref="A26:Y26"/>
    <mergeCell ref="AF26:AH26"/>
    <mergeCell ref="AI26:AL26"/>
    <mergeCell ref="AI20:AL20"/>
    <mergeCell ref="A7:F7"/>
    <mergeCell ref="G7:AL7"/>
    <mergeCell ref="A10:F10"/>
    <mergeCell ref="G10:AL10"/>
    <mergeCell ref="A11:F11"/>
    <mergeCell ref="G11:AL11"/>
    <mergeCell ref="A9:F9"/>
    <mergeCell ref="G9:AL9"/>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211" max="255" man="1"/>
  </rowBreaks>
</worksheet>
</file>

<file path=xl/worksheets/sheet2.xml><?xml version="1.0" encoding="utf-8"?>
<worksheet xmlns="http://schemas.openxmlformats.org/spreadsheetml/2006/main" xmlns:r="http://schemas.openxmlformats.org/officeDocument/2006/relationships">
  <dimension ref="A1:CM82"/>
  <sheetViews>
    <sheetView showZeros="0" zoomScale="90" zoomScaleNormal="90" zoomScalePageLayoutView="0" workbookViewId="0" topLeftCell="A1">
      <pane xSplit="1" ySplit="5" topLeftCell="B7" activePane="bottomRight" state="frozen"/>
      <selection pane="topLeft" activeCell="A1" sqref="A1"/>
      <selection pane="topRight" activeCell="B1" sqref="B1"/>
      <selection pane="bottomLeft" activeCell="A11" sqref="A11"/>
      <selection pane="bottomRight" activeCell="A17" sqref="A17"/>
    </sheetView>
  </sheetViews>
  <sheetFormatPr defaultColWidth="9.140625" defaultRowHeight="12.75"/>
  <cols>
    <col min="1" max="3" width="9.57421875" style="4" customWidth="1"/>
    <col min="4" max="5" width="9.140625" style="4" customWidth="1"/>
    <col min="6" max="6" width="9.57421875" style="4" customWidth="1"/>
    <col min="7" max="7" width="9.140625" style="4" customWidth="1"/>
    <col min="8" max="15" width="9.57421875" style="4" customWidth="1"/>
    <col min="16" max="16" width="12.421875" style="4" customWidth="1"/>
    <col min="17" max="17" width="9.57421875" style="4" customWidth="1"/>
    <col min="18" max="31" width="9.140625" style="4" customWidth="1"/>
    <col min="32" max="32" width="13.57421875" style="4" customWidth="1"/>
    <col min="33" max="33" width="10.421875" style="4" bestFit="1" customWidth="1"/>
    <col min="34" max="40" width="9.140625" style="4" customWidth="1"/>
    <col min="41" max="41" width="9.57421875" style="4" customWidth="1"/>
    <col min="42" max="43" width="9.140625" style="4" customWidth="1"/>
    <col min="44" max="45" width="9.28125" style="4" bestFit="1" customWidth="1"/>
    <col min="46" max="16384" width="9.140625" style="4" customWidth="1"/>
  </cols>
  <sheetData>
    <row r="1" spans="2:91" s="136" customFormat="1" ht="13.5" thickBot="1">
      <c r="B1" s="817" t="s">
        <v>2713</v>
      </c>
      <c r="C1" s="818"/>
      <c r="D1" s="818"/>
      <c r="E1" s="819"/>
      <c r="F1" s="817" t="s">
        <v>3778</v>
      </c>
      <c r="G1" s="818"/>
      <c r="H1" s="819"/>
      <c r="I1" s="820" t="s">
        <v>2225</v>
      </c>
      <c r="J1" s="820"/>
      <c r="K1" s="820"/>
      <c r="L1" s="820"/>
      <c r="M1" s="136" t="s">
        <v>2293</v>
      </c>
      <c r="N1" s="817" t="s">
        <v>450</v>
      </c>
      <c r="O1" s="818"/>
      <c r="P1" s="818"/>
      <c r="Q1" s="818"/>
      <c r="R1" s="819"/>
      <c r="S1" s="820" t="s">
        <v>453</v>
      </c>
      <c r="T1" s="820"/>
      <c r="U1" s="820"/>
      <c r="V1" s="820"/>
      <c r="W1" s="820"/>
      <c r="X1" s="820"/>
      <c r="Y1" s="820"/>
      <c r="Z1" s="817" t="s">
        <v>3155</v>
      </c>
      <c r="AA1" s="818"/>
      <c r="AB1" s="818"/>
      <c r="AC1" s="819"/>
      <c r="AD1" s="817" t="s">
        <v>3156</v>
      </c>
      <c r="AE1" s="818"/>
      <c r="AF1" s="818"/>
      <c r="AG1" s="818"/>
      <c r="AH1" s="819"/>
      <c r="AI1" s="820" t="s">
        <v>2222</v>
      </c>
      <c r="AJ1" s="820"/>
      <c r="AK1" s="820"/>
      <c r="AL1" s="820"/>
      <c r="AM1" s="820"/>
      <c r="AN1" s="136" t="s">
        <v>1715</v>
      </c>
      <c r="AO1" s="817" t="s">
        <v>1716</v>
      </c>
      <c r="AP1" s="818"/>
      <c r="AQ1" s="818"/>
      <c r="AR1" s="818"/>
      <c r="AS1" s="819"/>
      <c r="AT1" s="820" t="s">
        <v>2712</v>
      </c>
      <c r="AU1" s="820"/>
      <c r="AV1" s="820"/>
      <c r="AW1" s="820"/>
      <c r="AX1" s="820"/>
      <c r="AY1" s="820"/>
      <c r="AZ1" s="820"/>
      <c r="BA1" s="820"/>
      <c r="BB1" s="820" t="s">
        <v>2709</v>
      </c>
      <c r="BC1" s="820"/>
      <c r="BD1" s="820"/>
      <c r="BE1" s="820"/>
      <c r="BF1" s="820"/>
      <c r="BG1" s="820"/>
      <c r="BH1" s="820" t="s">
        <v>2710</v>
      </c>
      <c r="BI1" s="820"/>
      <c r="BJ1" s="820"/>
      <c r="BK1" s="820"/>
      <c r="BL1" s="820"/>
      <c r="BM1" s="820"/>
      <c r="BN1" s="820" t="s">
        <v>2711</v>
      </c>
      <c r="BO1" s="820"/>
      <c r="BP1" s="820"/>
      <c r="BQ1" s="820"/>
      <c r="BR1" s="820"/>
      <c r="BS1" s="820"/>
      <c r="BT1" s="817" t="s">
        <v>2223</v>
      </c>
      <c r="BU1" s="818"/>
      <c r="BV1" s="818"/>
      <c r="BW1" s="818"/>
      <c r="BX1" s="818"/>
      <c r="BY1" s="819"/>
      <c r="BZ1" s="820" t="s">
        <v>2224</v>
      </c>
      <c r="CA1" s="820"/>
      <c r="CB1" s="817" t="s">
        <v>1687</v>
      </c>
      <c r="CC1" s="818"/>
      <c r="CD1" s="818"/>
      <c r="CE1" s="818"/>
      <c r="CF1" s="818"/>
      <c r="CG1" s="818"/>
      <c r="CH1" s="818"/>
      <c r="CI1" s="818"/>
      <c r="CJ1" s="818"/>
      <c r="CK1" s="818"/>
      <c r="CL1" s="818"/>
      <c r="CM1" s="819"/>
    </row>
    <row r="2" spans="1:91" ht="12.75">
      <c r="A2" s="140" t="s">
        <v>2445</v>
      </c>
      <c r="B2" s="143">
        <v>1</v>
      </c>
      <c r="C2" s="143">
        <v>2231</v>
      </c>
      <c r="D2" s="143">
        <v>8019</v>
      </c>
      <c r="E2" s="143">
        <v>8020</v>
      </c>
      <c r="F2" s="142">
        <v>2355</v>
      </c>
      <c r="G2" s="142">
        <v>8801</v>
      </c>
      <c r="H2" s="142" t="s">
        <v>2645</v>
      </c>
      <c r="I2" s="141">
        <v>2596</v>
      </c>
      <c r="J2" s="141">
        <v>2597</v>
      </c>
      <c r="K2" s="141">
        <v>2598</v>
      </c>
      <c r="L2" s="141">
        <v>2599</v>
      </c>
      <c r="M2" s="143">
        <v>2998</v>
      </c>
      <c r="N2" s="142">
        <v>8001</v>
      </c>
      <c r="O2" s="142">
        <v>8002</v>
      </c>
      <c r="P2" s="142">
        <v>8003</v>
      </c>
      <c r="Q2" s="142">
        <v>8016</v>
      </c>
      <c r="R2" s="142">
        <v>8018</v>
      </c>
      <c r="S2" s="141">
        <v>8033</v>
      </c>
      <c r="T2" s="141">
        <v>8046</v>
      </c>
      <c r="U2" s="141">
        <v>8050</v>
      </c>
      <c r="V2" s="141">
        <v>8051</v>
      </c>
      <c r="W2" s="141">
        <v>8060</v>
      </c>
      <c r="X2" s="141">
        <v>8094</v>
      </c>
      <c r="Y2" s="141">
        <v>8095</v>
      </c>
      <c r="Z2" s="143">
        <v>8100</v>
      </c>
      <c r="AA2" s="143">
        <v>8104</v>
      </c>
      <c r="AB2" s="143">
        <v>8105</v>
      </c>
      <c r="AC2" s="143" t="s">
        <v>57</v>
      </c>
      <c r="AD2" s="142">
        <v>8150</v>
      </c>
      <c r="AE2" s="142">
        <v>8151</v>
      </c>
      <c r="AF2" s="142">
        <v>8160</v>
      </c>
      <c r="AG2" s="142">
        <v>8170</v>
      </c>
      <c r="AH2" s="142">
        <v>3299</v>
      </c>
      <c r="AI2" s="141">
        <v>8469</v>
      </c>
      <c r="AJ2" s="141">
        <v>8470</v>
      </c>
      <c r="AK2" s="141">
        <v>8471</v>
      </c>
      <c r="AL2" s="141">
        <v>8472</v>
      </c>
      <c r="AM2" s="141">
        <v>8475</v>
      </c>
      <c r="AN2" s="143">
        <v>8500</v>
      </c>
      <c r="AO2" s="142">
        <v>2403</v>
      </c>
      <c r="AP2" s="142">
        <v>8510</v>
      </c>
      <c r="AQ2" s="142">
        <v>8551</v>
      </c>
      <c r="AR2" s="142" t="s">
        <v>702</v>
      </c>
      <c r="AS2" s="142" t="s">
        <v>3420</v>
      </c>
      <c r="AT2" s="141">
        <v>8632</v>
      </c>
      <c r="AU2" s="141">
        <v>8633</v>
      </c>
      <c r="AV2" s="141">
        <v>8634</v>
      </c>
      <c r="AW2" s="141">
        <v>8636</v>
      </c>
      <c r="AX2" s="141">
        <v>8635</v>
      </c>
      <c r="AY2" s="141">
        <v>8637</v>
      </c>
      <c r="AZ2" s="141">
        <v>8638</v>
      </c>
      <c r="BA2" s="141">
        <v>8639</v>
      </c>
      <c r="BB2" s="143">
        <v>8651</v>
      </c>
      <c r="BC2" s="143">
        <v>8652</v>
      </c>
      <c r="BD2" s="143">
        <v>8653</v>
      </c>
      <c r="BE2" s="143">
        <v>8654</v>
      </c>
      <c r="BF2" s="143">
        <v>8655</v>
      </c>
      <c r="BG2" s="143">
        <v>8656</v>
      </c>
      <c r="BH2" s="142">
        <v>8661</v>
      </c>
      <c r="BI2" s="142">
        <v>8662</v>
      </c>
      <c r="BJ2" s="142">
        <v>8663</v>
      </c>
      <c r="BK2" s="142">
        <v>8664</v>
      </c>
      <c r="BL2" s="142">
        <v>8665</v>
      </c>
      <c r="BM2" s="142">
        <v>8666</v>
      </c>
      <c r="BN2" s="141">
        <v>8667</v>
      </c>
      <c r="BO2" s="141">
        <v>8668</v>
      </c>
      <c r="BP2" s="141">
        <v>8669</v>
      </c>
      <c r="BQ2" s="141">
        <v>8670</v>
      </c>
      <c r="BR2" s="141">
        <v>8671</v>
      </c>
      <c r="BS2" s="141">
        <v>8672</v>
      </c>
      <c r="BT2" s="143">
        <v>8710</v>
      </c>
      <c r="BU2" s="143">
        <v>8711</v>
      </c>
      <c r="BV2" s="143">
        <v>8709</v>
      </c>
      <c r="BW2" s="143">
        <v>8712</v>
      </c>
      <c r="BX2" s="143">
        <v>8713</v>
      </c>
      <c r="BY2" s="143">
        <v>8714</v>
      </c>
      <c r="BZ2" s="142">
        <v>8820</v>
      </c>
      <c r="CA2" s="142">
        <v>8821</v>
      </c>
      <c r="CB2" s="359" t="s">
        <v>452</v>
      </c>
      <c r="CC2" s="359" t="s">
        <v>452</v>
      </c>
      <c r="CD2" s="359" t="s">
        <v>452</v>
      </c>
      <c r="CE2" s="359" t="s">
        <v>452</v>
      </c>
      <c r="CF2" s="359" t="s">
        <v>452</v>
      </c>
      <c r="CG2" s="359" t="s">
        <v>452</v>
      </c>
      <c r="CH2" s="359" t="s">
        <v>452</v>
      </c>
      <c r="CI2" s="359" t="s">
        <v>452</v>
      </c>
      <c r="CJ2" s="359" t="s">
        <v>452</v>
      </c>
      <c r="CK2" s="359" t="s">
        <v>452</v>
      </c>
      <c r="CL2" s="359" t="s">
        <v>452</v>
      </c>
      <c r="CM2" s="359" t="s">
        <v>452</v>
      </c>
    </row>
    <row r="3" spans="1:91" ht="96.75" customHeight="1">
      <c r="A3" s="144" t="s">
        <v>380</v>
      </c>
      <c r="B3" s="544" t="s">
        <v>3225</v>
      </c>
      <c r="C3" s="522" t="s">
        <v>3226</v>
      </c>
      <c r="D3" s="522" t="s">
        <v>3233</v>
      </c>
      <c r="E3" s="522" t="s">
        <v>3140</v>
      </c>
      <c r="F3" s="520" t="s">
        <v>3153</v>
      </c>
      <c r="G3" s="520" t="s">
        <v>3154</v>
      </c>
      <c r="H3" s="520" t="s">
        <v>559</v>
      </c>
      <c r="I3" s="519" t="s">
        <v>3141</v>
      </c>
      <c r="J3" s="519" t="s">
        <v>3142</v>
      </c>
      <c r="K3" s="519" t="s">
        <v>3143</v>
      </c>
      <c r="L3" s="519" t="s">
        <v>3144</v>
      </c>
      <c r="M3" s="522" t="s">
        <v>3228</v>
      </c>
      <c r="N3" s="520" t="s">
        <v>3229</v>
      </c>
      <c r="O3" s="521" t="s">
        <v>3230</v>
      </c>
      <c r="P3" s="520" t="s">
        <v>3231</v>
      </c>
      <c r="Q3" s="520" t="s">
        <v>3145</v>
      </c>
      <c r="R3" s="520" t="s">
        <v>3232</v>
      </c>
      <c r="S3" s="545" t="s">
        <v>3234</v>
      </c>
      <c r="T3" s="519" t="s">
        <v>3236</v>
      </c>
      <c r="U3" s="519" t="s">
        <v>3235</v>
      </c>
      <c r="V3" s="519" t="s">
        <v>3237</v>
      </c>
      <c r="W3" s="519" t="s">
        <v>3238</v>
      </c>
      <c r="X3" s="519" t="s">
        <v>3146</v>
      </c>
      <c r="Y3" s="519" t="s">
        <v>3147</v>
      </c>
      <c r="Z3" s="522" t="s">
        <v>3239</v>
      </c>
      <c r="AA3" s="522" t="s">
        <v>3240</v>
      </c>
      <c r="AB3" s="522" t="s">
        <v>3241</v>
      </c>
      <c r="AC3" s="522" t="s">
        <v>3242</v>
      </c>
      <c r="AD3" s="521" t="s">
        <v>3243</v>
      </c>
      <c r="AE3" s="520" t="s">
        <v>3244</v>
      </c>
      <c r="AF3" s="520" t="s">
        <v>3245</v>
      </c>
      <c r="AG3" s="520" t="s">
        <v>3246</v>
      </c>
      <c r="AH3" s="520" t="s">
        <v>3247</v>
      </c>
      <c r="AI3" s="519" t="s">
        <v>3148</v>
      </c>
      <c r="AJ3" s="519" t="s">
        <v>3149</v>
      </c>
      <c r="AK3" s="519" t="s">
        <v>3150</v>
      </c>
      <c r="AL3" s="519" t="s">
        <v>3151</v>
      </c>
      <c r="AM3" s="519" t="s">
        <v>3152</v>
      </c>
      <c r="AN3" s="522" t="s">
        <v>2804</v>
      </c>
      <c r="AO3" s="520" t="s">
        <v>3227</v>
      </c>
      <c r="AP3" s="520" t="s">
        <v>3776</v>
      </c>
      <c r="AQ3" s="520" t="s">
        <v>213</v>
      </c>
      <c r="AR3" s="520" t="s">
        <v>1359</v>
      </c>
      <c r="AS3" s="520" t="s">
        <v>1360</v>
      </c>
      <c r="AT3" s="545" t="s">
        <v>214</v>
      </c>
      <c r="AU3" s="545" t="s">
        <v>215</v>
      </c>
      <c r="AV3" s="545" t="s">
        <v>216</v>
      </c>
      <c r="AW3" s="545" t="s">
        <v>217</v>
      </c>
      <c r="AX3" s="545" t="s">
        <v>218</v>
      </c>
      <c r="AY3" s="545" t="s">
        <v>219</v>
      </c>
      <c r="AZ3" s="545" t="s">
        <v>220</v>
      </c>
      <c r="BA3" s="545" t="s">
        <v>221</v>
      </c>
      <c r="BB3" s="522" t="s">
        <v>222</v>
      </c>
      <c r="BC3" s="522" t="s">
        <v>223</v>
      </c>
      <c r="BD3" s="522" t="s">
        <v>224</v>
      </c>
      <c r="BE3" s="522" t="s">
        <v>225</v>
      </c>
      <c r="BF3" s="522" t="s">
        <v>226</v>
      </c>
      <c r="BG3" s="522" t="s">
        <v>227</v>
      </c>
      <c r="BH3" s="520" t="s">
        <v>228</v>
      </c>
      <c r="BI3" s="521" t="s">
        <v>229</v>
      </c>
      <c r="BJ3" s="520" t="s">
        <v>230</v>
      </c>
      <c r="BK3" s="520" t="s">
        <v>231</v>
      </c>
      <c r="BL3" s="520" t="s">
        <v>232</v>
      </c>
      <c r="BM3" s="520" t="s">
        <v>233</v>
      </c>
      <c r="BN3" s="519" t="s">
        <v>234</v>
      </c>
      <c r="BO3" s="519" t="s">
        <v>235</v>
      </c>
      <c r="BP3" s="545" t="s">
        <v>3084</v>
      </c>
      <c r="BQ3" s="519" t="s">
        <v>3085</v>
      </c>
      <c r="BR3" s="519" t="s">
        <v>3086</v>
      </c>
      <c r="BS3" s="519" t="s">
        <v>3087</v>
      </c>
      <c r="BT3" s="522" t="s">
        <v>3132</v>
      </c>
      <c r="BU3" s="522" t="s">
        <v>3133</v>
      </c>
      <c r="BV3" s="522" t="s">
        <v>3088</v>
      </c>
      <c r="BW3" s="522" t="s">
        <v>3134</v>
      </c>
      <c r="BX3" s="522" t="s">
        <v>3135</v>
      </c>
      <c r="BY3" s="522" t="s">
        <v>3136</v>
      </c>
      <c r="BZ3" s="520" t="s">
        <v>3137</v>
      </c>
      <c r="CA3" s="520" t="s">
        <v>3138</v>
      </c>
      <c r="CB3" s="523" t="s">
        <v>3842</v>
      </c>
      <c r="CC3" s="523" t="s">
        <v>3843</v>
      </c>
      <c r="CD3" s="523" t="s">
        <v>3844</v>
      </c>
      <c r="CE3" s="523" t="s">
        <v>3845</v>
      </c>
      <c r="CF3" s="523" t="s">
        <v>3846</v>
      </c>
      <c r="CG3" s="523" t="s">
        <v>3847</v>
      </c>
      <c r="CH3" s="523" t="s">
        <v>3848</v>
      </c>
      <c r="CI3" s="523" t="s">
        <v>3849</v>
      </c>
      <c r="CJ3" s="523" t="s">
        <v>3850</v>
      </c>
      <c r="CK3" s="523" t="s">
        <v>3851</v>
      </c>
      <c r="CL3" s="523" t="s">
        <v>3852</v>
      </c>
      <c r="CM3" s="523" t="s">
        <v>3853</v>
      </c>
    </row>
    <row r="4" spans="1:91" ht="13.5" thickBot="1">
      <c r="A4" s="145" t="s">
        <v>843</v>
      </c>
      <c r="B4" s="147" t="s">
        <v>3139</v>
      </c>
      <c r="C4" s="147" t="s">
        <v>2440</v>
      </c>
      <c r="D4" s="147" t="s">
        <v>3139</v>
      </c>
      <c r="E4" s="147" t="s">
        <v>3139</v>
      </c>
      <c r="F4" s="543" t="s">
        <v>2439</v>
      </c>
      <c r="G4" s="543" t="s">
        <v>2439</v>
      </c>
      <c r="H4" s="543" t="s">
        <v>2439</v>
      </c>
      <c r="I4" s="146" t="s">
        <v>2442</v>
      </c>
      <c r="J4" s="146" t="s">
        <v>2442</v>
      </c>
      <c r="K4" s="146" t="s">
        <v>2442</v>
      </c>
      <c r="L4" s="146" t="s">
        <v>2442</v>
      </c>
      <c r="M4" s="147" t="s">
        <v>2442</v>
      </c>
      <c r="N4" s="543" t="s">
        <v>2440</v>
      </c>
      <c r="O4" s="543" t="s">
        <v>2440</v>
      </c>
      <c r="P4" s="543" t="s">
        <v>2441</v>
      </c>
      <c r="Q4" s="543" t="s">
        <v>2442</v>
      </c>
      <c r="R4" s="543" t="s">
        <v>2444</v>
      </c>
      <c r="S4" s="146" t="s">
        <v>2439</v>
      </c>
      <c r="T4" s="146" t="s">
        <v>2439</v>
      </c>
      <c r="U4" s="146" t="s">
        <v>2439</v>
      </c>
      <c r="V4" s="146" t="s">
        <v>2439</v>
      </c>
      <c r="W4" s="146" t="s">
        <v>2439</v>
      </c>
      <c r="X4" s="146" t="s">
        <v>77</v>
      </c>
      <c r="Y4" s="146" t="s">
        <v>77</v>
      </c>
      <c r="Z4" s="147" t="s">
        <v>2440</v>
      </c>
      <c r="AA4" s="147" t="s">
        <v>2440</v>
      </c>
      <c r="AB4" s="147" t="s">
        <v>2440</v>
      </c>
      <c r="AC4" s="147" t="s">
        <v>2440</v>
      </c>
      <c r="AD4" s="543" t="s">
        <v>2443</v>
      </c>
      <c r="AE4" s="543" t="s">
        <v>2443</v>
      </c>
      <c r="AF4" s="543" t="s">
        <v>2443</v>
      </c>
      <c r="AG4" s="543" t="s">
        <v>2522</v>
      </c>
      <c r="AH4" s="543" t="s">
        <v>2439</v>
      </c>
      <c r="AI4" s="146" t="s">
        <v>2439</v>
      </c>
      <c r="AJ4" s="146" t="s">
        <v>2439</v>
      </c>
      <c r="AK4" s="146" t="s">
        <v>2439</v>
      </c>
      <c r="AL4" s="146" t="s">
        <v>2439</v>
      </c>
      <c r="AM4" s="146" t="s">
        <v>2439</v>
      </c>
      <c r="AN4" s="147" t="s">
        <v>2442</v>
      </c>
      <c r="AO4" s="543" t="s">
        <v>2440</v>
      </c>
      <c r="AP4" s="543" t="s">
        <v>2442</v>
      </c>
      <c r="AQ4" s="543" t="s">
        <v>2442</v>
      </c>
      <c r="AR4" s="543" t="s">
        <v>2439</v>
      </c>
      <c r="AS4" s="543" t="s">
        <v>2442</v>
      </c>
      <c r="AT4" s="146" t="s">
        <v>2439</v>
      </c>
      <c r="AU4" s="146" t="s">
        <v>2439</v>
      </c>
      <c r="AV4" s="146" t="s">
        <v>2439</v>
      </c>
      <c r="AW4" s="146" t="s">
        <v>2439</v>
      </c>
      <c r="AX4" s="146" t="s">
        <v>2439</v>
      </c>
      <c r="AY4" s="146" t="s">
        <v>2439</v>
      </c>
      <c r="AZ4" s="146" t="s">
        <v>2439</v>
      </c>
      <c r="BA4" s="146" t="s">
        <v>2439</v>
      </c>
      <c r="BB4" s="147" t="s">
        <v>2439</v>
      </c>
      <c r="BC4" s="147" t="s">
        <v>2439</v>
      </c>
      <c r="BD4" s="147" t="s">
        <v>2439</v>
      </c>
      <c r="BE4" s="147" t="s">
        <v>2439</v>
      </c>
      <c r="BF4" s="147" t="s">
        <v>2439</v>
      </c>
      <c r="BG4" s="147" t="s">
        <v>2439</v>
      </c>
      <c r="BH4" s="543" t="s">
        <v>2439</v>
      </c>
      <c r="BI4" s="543" t="s">
        <v>2439</v>
      </c>
      <c r="BJ4" s="543" t="s">
        <v>2439</v>
      </c>
      <c r="BK4" s="543" t="s">
        <v>2439</v>
      </c>
      <c r="BL4" s="543" t="s">
        <v>2439</v>
      </c>
      <c r="BM4" s="543" t="s">
        <v>2439</v>
      </c>
      <c r="BN4" s="146" t="s">
        <v>2439</v>
      </c>
      <c r="BO4" s="146" t="s">
        <v>2439</v>
      </c>
      <c r="BP4" s="146" t="s">
        <v>2439</v>
      </c>
      <c r="BQ4" s="146" t="s">
        <v>2439</v>
      </c>
      <c r="BR4" s="146" t="s">
        <v>2439</v>
      </c>
      <c r="BS4" s="146" t="s">
        <v>2439</v>
      </c>
      <c r="BT4" s="147" t="s">
        <v>2439</v>
      </c>
      <c r="BU4" s="147" t="s">
        <v>2439</v>
      </c>
      <c r="BV4" s="147" t="s">
        <v>2439</v>
      </c>
      <c r="BW4" s="147" t="s">
        <v>2439</v>
      </c>
      <c r="BX4" s="147" t="s">
        <v>2439</v>
      </c>
      <c r="BY4" s="147" t="s">
        <v>2439</v>
      </c>
      <c r="BZ4" s="543" t="s">
        <v>2439</v>
      </c>
      <c r="CA4" s="543" t="s">
        <v>2439</v>
      </c>
      <c r="CB4" s="348" t="s">
        <v>451</v>
      </c>
      <c r="CC4" s="348" t="s">
        <v>451</v>
      </c>
      <c r="CD4" s="348" t="s">
        <v>451</v>
      </c>
      <c r="CE4" s="348" t="s">
        <v>451</v>
      </c>
      <c r="CF4" s="348" t="s">
        <v>451</v>
      </c>
      <c r="CG4" s="348" t="s">
        <v>451</v>
      </c>
      <c r="CH4" s="348" t="s">
        <v>451</v>
      </c>
      <c r="CI4" s="348" t="s">
        <v>451</v>
      </c>
      <c r="CJ4" s="348" t="s">
        <v>451</v>
      </c>
      <c r="CK4" s="348" t="s">
        <v>451</v>
      </c>
      <c r="CL4" s="348" t="s">
        <v>451</v>
      </c>
      <c r="CM4" s="348" t="s">
        <v>451</v>
      </c>
    </row>
    <row r="5" spans="1:91" ht="13.5" thickBot="1">
      <c r="A5" s="148" t="s">
        <v>2292</v>
      </c>
      <c r="B5" s="548">
        <f>VLOOKUP(B2,Bids!$B$8:$G$1736,6,FALSE)</f>
        <v>36.46</v>
      </c>
      <c r="C5" s="548">
        <f>VLOOKUP(C2,Bids!$B$8:$G$1736,6,FALSE)</f>
        <v>69.47</v>
      </c>
      <c r="D5" s="548">
        <f>VLOOKUP(D2,Bids!$B$8:$G$1736,6,FALSE)</f>
        <v>49.12</v>
      </c>
      <c r="E5" s="548">
        <f>VLOOKUP(E2,Bids!$B$8:$G$1736,6,FALSE)</f>
        <v>48.01</v>
      </c>
      <c r="F5" s="548">
        <f>VLOOKUP(F2,Bids!$B$8:$G$1736,6,FALSE)</f>
        <v>64.68</v>
      </c>
      <c r="G5" s="548">
        <f>VLOOKUP(G2,Bids!$B$8:$G$1736,6,FALSE)</f>
        <v>209.1</v>
      </c>
      <c r="H5" s="548">
        <f>VLOOKUP(H2,Bids!$B$8:$G$1736,6,FALSE)</f>
        <v>141.02</v>
      </c>
      <c r="I5" s="558">
        <v>2.06</v>
      </c>
      <c r="J5" s="558">
        <v>1.25</v>
      </c>
      <c r="K5" s="558">
        <v>2</v>
      </c>
      <c r="L5" s="558">
        <v>1.84</v>
      </c>
      <c r="M5" s="548">
        <f>VLOOKUP(M2,Bids!$B$8:$G$1736,6,FALSE)</f>
        <v>10.87</v>
      </c>
      <c r="N5" s="548">
        <f>VLOOKUP(N2,Bids!$B$8:$G$1736,6,FALSE)</f>
        <v>43.65</v>
      </c>
      <c r="O5" s="548">
        <f>VLOOKUP(O2,Bids!$B$8:$G$1736,6,FALSE)</f>
        <v>56.97</v>
      </c>
      <c r="P5" s="548">
        <f>VLOOKUP(P2,Bids!$B$8:$G$1736,6,FALSE)</f>
        <v>68906.76</v>
      </c>
      <c r="Q5" s="558">
        <v>190</v>
      </c>
      <c r="R5" s="548">
        <f>VLOOKUP(R2,Bids!$B$8:$G$1736,6,FALSE)</f>
        <v>71.96</v>
      </c>
      <c r="S5" s="548">
        <f>VLOOKUP(S2,Bids!$B$8:$G$1736,6,FALSE)</f>
        <v>253.3</v>
      </c>
      <c r="T5" s="548">
        <f>VLOOKUP(T2,Bids!$B$8:$G$1736,6,FALSE)</f>
        <v>93.18</v>
      </c>
      <c r="U5" s="548">
        <f>VLOOKUP(U2,Bids!$B$8:$G$1736,6,FALSE)</f>
        <v>107</v>
      </c>
      <c r="V5" s="548">
        <f>VLOOKUP(V2,Bids!$B$8:$G$1736,6,FALSE)</f>
        <v>150.37</v>
      </c>
      <c r="W5" s="558">
        <v>150</v>
      </c>
      <c r="X5" s="548">
        <f>VLOOKUP(X2,Bids!$B$8:$G$1736,6,FALSE)</f>
        <v>161.56</v>
      </c>
      <c r="Y5" s="548">
        <f>VLOOKUP(Y2,Bids!$B$8:$G$1736,6,FALSE)</f>
        <v>181.01</v>
      </c>
      <c r="Z5" s="548">
        <f>VLOOKUP(Z2,Bids!$B$8:$G$1736,6,FALSE)</f>
        <v>900.17</v>
      </c>
      <c r="AA5" s="548">
        <f>VLOOKUP(AA2,Bids!$B$8:$G$1736,6,FALSE)</f>
        <v>1073.16</v>
      </c>
      <c r="AB5" s="558">
        <v>455</v>
      </c>
      <c r="AC5" s="558">
        <v>1000</v>
      </c>
      <c r="AD5" s="548">
        <f>VLOOKUP(AD2,Bids!$B$8:$G$1736,6,FALSE)</f>
        <v>1.7</v>
      </c>
      <c r="AE5" s="548">
        <f>VLOOKUP(AE2,Bids!$B$8:$G$1736,6,FALSE)</f>
        <v>1.76</v>
      </c>
      <c r="AF5" s="548">
        <f>VLOOKUP(AF2,Bids!$B$8:$G$1736,6,FALSE)</f>
        <v>2058667</v>
      </c>
      <c r="AG5" s="548">
        <f>VLOOKUP(AG2,Bids!$B$8:$G$1736,6,FALSE)</f>
        <v>27704.32</v>
      </c>
      <c r="AH5" s="548">
        <f>VLOOKUP(AH2,Bids!$B$8:$G$1736,6,FALSE)</f>
        <v>159.26</v>
      </c>
      <c r="AI5" s="558">
        <v>600</v>
      </c>
      <c r="AJ5" s="558">
        <v>155</v>
      </c>
      <c r="AK5" s="558">
        <v>268.47</v>
      </c>
      <c r="AL5" s="548">
        <f>VLOOKUP(AL2,Bids!$B$8:$G$1736,6,FALSE)</f>
        <v>400</v>
      </c>
      <c r="AM5" s="558">
        <v>150</v>
      </c>
      <c r="AN5" s="548">
        <f>VLOOKUP(AN2,Bids!$B$8:$G$1736,6,FALSE)</f>
        <v>607.91</v>
      </c>
      <c r="AO5" s="548">
        <f>VLOOKUP(AO2,Bids!$B$8:$G$1736,6,FALSE)</f>
        <v>608.15</v>
      </c>
      <c r="AP5" s="548">
        <f>VLOOKUP(AP2,Bids!$B$8:$G$1736,6,FALSE)</f>
        <v>16.13</v>
      </c>
      <c r="AQ5" s="548">
        <f>VLOOKUP(AQ2,Bids!$B$8:$G$1736,6,FALSE)</f>
        <v>25.84</v>
      </c>
      <c r="AR5" s="558">
        <v>100</v>
      </c>
      <c r="AS5" s="558">
        <v>170</v>
      </c>
      <c r="AT5" s="548">
        <f>VLOOKUP(AT2,Bids!$B$8:$G$1736,6,FALSE)</f>
        <v>403.78</v>
      </c>
      <c r="AU5" s="548">
        <f>VLOOKUP(AU2,Bids!$B$8:$G$1736,6,FALSE)</f>
        <v>432.58</v>
      </c>
      <c r="AV5" s="548">
        <f>VLOOKUP(AV2,Bids!$B$8:$G$1736,6,FALSE)</f>
        <v>517</v>
      </c>
      <c r="AW5" s="558">
        <v>501.36</v>
      </c>
      <c r="AX5" s="548">
        <f>VLOOKUP(AX2,Bids!$B$8:$G$1736,6,FALSE)</f>
        <v>695.44</v>
      </c>
      <c r="AY5" s="548">
        <f>VLOOKUP(AY2,Bids!$B$8:$G$1736,6,FALSE)</f>
        <v>750</v>
      </c>
      <c r="AZ5" s="548">
        <f>VLOOKUP(AZ2,Bids!$B$8:$G$1736,6,FALSE)</f>
        <v>716.5</v>
      </c>
      <c r="BA5" s="548">
        <f>VLOOKUP(BA2,Bids!$B$8:$G$1736,6,FALSE)</f>
        <v>800</v>
      </c>
      <c r="BB5" s="548">
        <f>VLOOKUP(BB2,Bids!$B$8:$G$1736,6,FALSE)</f>
        <v>385.52</v>
      </c>
      <c r="BC5" s="558">
        <v>310.43</v>
      </c>
      <c r="BD5" s="548">
        <f>VLOOKUP(BD2,Bids!$B$8:$G$1736,6,FALSE)</f>
        <v>430</v>
      </c>
      <c r="BE5" s="558">
        <v>459.11</v>
      </c>
      <c r="BF5" s="558">
        <v>348.55</v>
      </c>
      <c r="BG5" s="558">
        <v>550</v>
      </c>
      <c r="BH5" s="548">
        <f>VLOOKUP(BH2,Bids!$B$8:$G$1736,6,FALSE)</f>
        <v>326.52</v>
      </c>
      <c r="BI5" s="548">
        <f>VLOOKUP(BI2,Bids!$B$8:$G$1736,6,FALSE)</f>
        <v>357.4</v>
      </c>
      <c r="BJ5" s="548">
        <f>VLOOKUP(BJ2,Bids!$B$8:$G$1736,6,FALSE)</f>
        <v>346.53</v>
      </c>
      <c r="BK5" s="548">
        <f>VLOOKUP(BK2,Bids!$B$8:$G$1736,6,FALSE)</f>
        <v>326.53</v>
      </c>
      <c r="BL5" s="558">
        <v>368.74</v>
      </c>
      <c r="BM5" s="548">
        <f>VLOOKUP(BM2,Bids!$B$8:$G$1736,6,FALSE)</f>
        <v>740.4</v>
      </c>
      <c r="BN5" s="558">
        <v>229.64</v>
      </c>
      <c r="BO5" s="548">
        <f>VLOOKUP(BO2,Bids!$B$8:$G$1736,6,FALSE)</f>
        <v>387.38</v>
      </c>
      <c r="BP5" s="548">
        <f>VLOOKUP(BP2,Bids!$B$8:$G$1736,6,FALSE)</f>
        <v>320.2</v>
      </c>
      <c r="BQ5" s="548">
        <f>VLOOKUP(BQ2,Bids!$B$8:$G$1736,6,FALSE)</f>
        <v>340.26</v>
      </c>
      <c r="BR5" s="548">
        <f>VLOOKUP(BR2,Bids!$B$8:$G$1736,6,FALSE)</f>
        <v>378</v>
      </c>
      <c r="BS5" s="548">
        <f>VLOOKUP(BS2,Bids!$B$8:$G$1736,6,FALSE)</f>
        <v>565</v>
      </c>
      <c r="BT5" s="558">
        <v>55</v>
      </c>
      <c r="BU5" s="548">
        <f>VLOOKUP(BU2,Bids!$B$8:$G$1736,6,FALSE)</f>
        <v>145</v>
      </c>
      <c r="BV5" s="558">
        <v>257.46</v>
      </c>
      <c r="BW5" s="558">
        <v>67</v>
      </c>
      <c r="BX5" s="558">
        <v>65</v>
      </c>
      <c r="BY5" s="558">
        <v>60</v>
      </c>
      <c r="BZ5" s="558">
        <v>47</v>
      </c>
      <c r="CA5" s="558">
        <v>150</v>
      </c>
      <c r="CB5" s="548" t="e">
        <f>VLOOKUP(CB2,Bids!$B$8:$G$1736,6,FALSE)</f>
        <v>#N/A</v>
      </c>
      <c r="CC5" s="548" t="e">
        <f>VLOOKUP(CC2,Bids!$B$8:$G$1736,6,FALSE)</f>
        <v>#N/A</v>
      </c>
      <c r="CD5" s="548" t="e">
        <f>VLOOKUP(CD2,Bids!$B$8:$G$1736,6,FALSE)</f>
        <v>#N/A</v>
      </c>
      <c r="CE5" s="548" t="e">
        <f>VLOOKUP(CE2,Bids!$B$8:$G$1736,6,FALSE)</f>
        <v>#N/A</v>
      </c>
      <c r="CF5" s="548" t="e">
        <f>VLOOKUP(CF2,Bids!$B$8:$G$1736,6,FALSE)</f>
        <v>#N/A</v>
      </c>
      <c r="CG5" s="548" t="e">
        <f>VLOOKUP(CG2,Bids!$B$8:$G$1736,6,FALSE)</f>
        <v>#N/A</v>
      </c>
      <c r="CH5" s="548" t="e">
        <f>VLOOKUP(CH2,Bids!$B$8:$G$1736,6,FALSE)</f>
        <v>#N/A</v>
      </c>
      <c r="CI5" s="548" t="e">
        <f>VLOOKUP(CI2,Bids!$B$8:$G$1736,6,FALSE)</f>
        <v>#N/A</v>
      </c>
      <c r="CJ5" s="548" t="e">
        <f>VLOOKUP(CJ2,Bids!$B$8:$G$1736,6,FALSE)</f>
        <v>#N/A</v>
      </c>
      <c r="CK5" s="548" t="e">
        <f>VLOOKUP(CK2,Bids!$B$8:$G$1736,6,FALSE)</f>
        <v>#N/A</v>
      </c>
      <c r="CL5" s="548" t="e">
        <f>VLOOKUP(CL2,Bids!$B$8:$G$1736,6,FALSE)</f>
        <v>#N/A</v>
      </c>
      <c r="CM5" s="548" t="e">
        <f>VLOOKUP(CM2,Bids!$B$8:$G$1736,6,FALSE)</f>
        <v>#N/A</v>
      </c>
    </row>
    <row r="6" spans="1:91" ht="12.75">
      <c r="A6" s="137" t="s">
        <v>1740</v>
      </c>
      <c r="B6" s="295"/>
      <c r="C6" s="302"/>
      <c r="D6" s="302"/>
      <c r="E6" s="302"/>
      <c r="F6" s="295"/>
      <c r="G6" s="295"/>
      <c r="H6" s="295"/>
      <c r="I6" s="295"/>
      <c r="J6" s="295"/>
      <c r="K6" s="295"/>
      <c r="L6" s="295"/>
      <c r="M6" s="295"/>
      <c r="N6" s="302"/>
      <c r="O6" s="302"/>
      <c r="P6" s="302"/>
      <c r="Q6" s="295"/>
      <c r="R6" s="295"/>
      <c r="S6" s="302"/>
      <c r="T6" s="302"/>
      <c r="U6" s="302"/>
      <c r="V6" s="302"/>
      <c r="W6" s="302"/>
      <c r="X6" s="302"/>
      <c r="Y6" s="302"/>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row>
    <row r="7" spans="1:91" ht="12.75">
      <c r="A7" s="138" t="str">
        <f>IF(Input!$F$49&gt;0,CONCATENATE(Input!$F$49," #1"),"")</f>
        <v>IEB #1</v>
      </c>
      <c r="B7" s="296"/>
      <c r="C7" s="296"/>
      <c r="D7" s="296"/>
      <c r="E7" s="296"/>
      <c r="F7" s="303"/>
      <c r="G7" s="303"/>
      <c r="H7" s="303"/>
      <c r="I7" s="296"/>
      <c r="J7" s="296"/>
      <c r="K7" s="296"/>
      <c r="L7" s="296"/>
      <c r="M7" s="296"/>
      <c r="N7" s="296"/>
      <c r="O7" s="296"/>
      <c r="P7" s="303"/>
      <c r="Q7" s="296"/>
      <c r="R7" s="296"/>
      <c r="S7" s="296"/>
      <c r="T7" s="296"/>
      <c r="U7" s="296"/>
      <c r="V7" s="296"/>
      <c r="W7" s="296"/>
      <c r="X7" s="296"/>
      <c r="Y7" s="296"/>
      <c r="Z7" s="296"/>
      <c r="AA7" s="296"/>
      <c r="AB7" s="296"/>
      <c r="AC7" s="296"/>
      <c r="AD7" s="296"/>
      <c r="AE7" s="296"/>
      <c r="AF7" s="303"/>
      <c r="AG7" s="303"/>
      <c r="AH7" s="297"/>
      <c r="AI7" s="303"/>
      <c r="AJ7" s="303"/>
      <c r="AK7" s="303"/>
      <c r="AL7" s="303"/>
      <c r="AM7" s="303"/>
      <c r="AN7" s="297"/>
      <c r="AO7" s="297"/>
      <c r="AP7" s="296"/>
      <c r="AQ7" s="296"/>
      <c r="AR7" s="296"/>
      <c r="AS7" s="296"/>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296"/>
      <c r="CA7" s="296"/>
      <c r="CB7" s="296"/>
      <c r="CC7" s="296"/>
      <c r="CD7" s="296"/>
      <c r="CE7" s="296"/>
      <c r="CF7" s="296"/>
      <c r="CG7" s="296"/>
      <c r="CH7" s="296"/>
      <c r="CI7" s="296"/>
      <c r="CJ7" s="296"/>
      <c r="CK7" s="296"/>
      <c r="CL7" s="296"/>
      <c r="CM7" s="296"/>
    </row>
    <row r="8" spans="1:91" ht="12.75">
      <c r="A8" s="138" t="str">
        <f>IF(Input!$F$50&gt;0,CONCATENATE(Input!$F$50," #2"),"")</f>
        <v>IEB #2</v>
      </c>
      <c r="B8" s="296"/>
      <c r="C8" s="296"/>
      <c r="D8" s="296"/>
      <c r="E8" s="296"/>
      <c r="F8" s="303"/>
      <c r="G8" s="303"/>
      <c r="H8" s="303"/>
      <c r="I8" s="296"/>
      <c r="J8" s="296"/>
      <c r="K8" s="296"/>
      <c r="L8" s="296"/>
      <c r="M8" s="296"/>
      <c r="N8" s="296"/>
      <c r="O8" s="296"/>
      <c r="P8" s="303"/>
      <c r="Q8" s="296"/>
      <c r="R8" s="296"/>
      <c r="S8" s="296"/>
      <c r="T8" s="296"/>
      <c r="U8" s="296"/>
      <c r="V8" s="296"/>
      <c r="W8" s="296"/>
      <c r="X8" s="296"/>
      <c r="Y8" s="296"/>
      <c r="Z8" s="296"/>
      <c r="AA8" s="296"/>
      <c r="AB8" s="296"/>
      <c r="AC8" s="296"/>
      <c r="AD8" s="296"/>
      <c r="AE8" s="296"/>
      <c r="AF8" s="303"/>
      <c r="AG8" s="303"/>
      <c r="AH8" s="297"/>
      <c r="AI8" s="303"/>
      <c r="AJ8" s="303"/>
      <c r="AK8" s="303"/>
      <c r="AL8" s="303"/>
      <c r="AM8" s="303"/>
      <c r="AN8" s="297"/>
      <c r="AO8" s="297"/>
      <c r="AP8" s="296"/>
      <c r="AQ8" s="296"/>
      <c r="AR8" s="296"/>
      <c r="AS8" s="296"/>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296"/>
      <c r="CA8" s="296"/>
      <c r="CB8" s="296"/>
      <c r="CC8" s="296"/>
      <c r="CD8" s="296"/>
      <c r="CE8" s="296"/>
      <c r="CF8" s="296"/>
      <c r="CG8" s="296"/>
      <c r="CH8" s="296"/>
      <c r="CI8" s="296"/>
      <c r="CJ8" s="296"/>
      <c r="CK8" s="296"/>
      <c r="CL8" s="296"/>
      <c r="CM8" s="296"/>
    </row>
    <row r="9" spans="1:91" ht="12.75">
      <c r="A9" s="138" t="str">
        <f>IF(Input!E55,CONCATENATE(Input!D55," #1"),"")</f>
        <v>C1 #1</v>
      </c>
      <c r="B9" s="296"/>
      <c r="C9" s="296"/>
      <c r="D9" s="296"/>
      <c r="E9" s="296"/>
      <c r="F9" s="303"/>
      <c r="G9" s="303"/>
      <c r="H9" s="303"/>
      <c r="I9" s="296"/>
      <c r="J9" s="296"/>
      <c r="K9" s="296"/>
      <c r="L9" s="296"/>
      <c r="M9" s="296"/>
      <c r="N9" s="296"/>
      <c r="O9" s="296"/>
      <c r="P9" s="303"/>
      <c r="Q9" s="296"/>
      <c r="R9" s="296"/>
      <c r="S9" s="296"/>
      <c r="T9" s="296"/>
      <c r="U9" s="296"/>
      <c r="V9" s="296"/>
      <c r="W9" s="296"/>
      <c r="X9" s="296"/>
      <c r="Y9" s="296"/>
      <c r="Z9" s="296"/>
      <c r="AA9" s="296"/>
      <c r="AB9" s="296"/>
      <c r="AC9" s="296"/>
      <c r="AD9" s="296"/>
      <c r="AE9" s="296"/>
      <c r="AF9" s="303"/>
      <c r="AG9" s="303"/>
      <c r="AH9" s="297"/>
      <c r="AI9" s="303"/>
      <c r="AJ9" s="303"/>
      <c r="AK9" s="303"/>
      <c r="AL9" s="303"/>
      <c r="AM9" s="303"/>
      <c r="AN9" s="303"/>
      <c r="AO9" s="297"/>
      <c r="AP9" s="296"/>
      <c r="AQ9" s="296"/>
      <c r="AR9" s="296"/>
      <c r="AS9" s="296"/>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296"/>
      <c r="CA9" s="296"/>
      <c r="CB9" s="296"/>
      <c r="CC9" s="296"/>
      <c r="CD9" s="296"/>
      <c r="CE9" s="296"/>
      <c r="CF9" s="296"/>
      <c r="CG9" s="296"/>
      <c r="CH9" s="296"/>
      <c r="CI9" s="296"/>
      <c r="CJ9" s="296"/>
      <c r="CK9" s="296"/>
      <c r="CL9" s="296"/>
      <c r="CM9" s="296"/>
    </row>
    <row r="10" spans="1:91" ht="12.75">
      <c r="A10" s="138" t="str">
        <f>IF(Input!E57,CONCATENATE(Input!D57," #2"),"")</f>
        <v>C1 #2</v>
      </c>
      <c r="B10" s="296"/>
      <c r="C10" s="296"/>
      <c r="D10" s="296"/>
      <c r="E10" s="296"/>
      <c r="F10" s="303"/>
      <c r="G10" s="303"/>
      <c r="H10" s="303"/>
      <c r="I10" s="296"/>
      <c r="J10" s="296"/>
      <c r="K10" s="296"/>
      <c r="L10" s="296"/>
      <c r="M10" s="296"/>
      <c r="N10" s="296"/>
      <c r="O10" s="296"/>
      <c r="P10" s="303"/>
      <c r="Q10" s="296"/>
      <c r="R10" s="296"/>
      <c r="S10" s="296"/>
      <c r="T10" s="296"/>
      <c r="U10" s="296"/>
      <c r="V10" s="296"/>
      <c r="W10" s="296"/>
      <c r="X10" s="296"/>
      <c r="Y10" s="296"/>
      <c r="Z10" s="296"/>
      <c r="AA10" s="296"/>
      <c r="AB10" s="296"/>
      <c r="AC10" s="296"/>
      <c r="AD10" s="296"/>
      <c r="AE10" s="296"/>
      <c r="AF10" s="303"/>
      <c r="AG10" s="303"/>
      <c r="AH10" s="297"/>
      <c r="AI10" s="303"/>
      <c r="AJ10" s="303"/>
      <c r="AK10" s="303"/>
      <c r="AL10" s="303"/>
      <c r="AM10" s="303"/>
      <c r="AN10" s="303"/>
      <c r="AO10" s="297"/>
      <c r="AP10" s="296"/>
      <c r="AQ10" s="296"/>
      <c r="AR10" s="296"/>
      <c r="AS10" s="296"/>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296"/>
      <c r="CA10" s="296"/>
      <c r="CB10" s="296"/>
      <c r="CC10" s="296"/>
      <c r="CD10" s="296"/>
      <c r="CE10" s="296"/>
      <c r="CF10" s="296"/>
      <c r="CG10" s="296"/>
      <c r="CH10" s="296"/>
      <c r="CI10" s="296"/>
      <c r="CJ10" s="296"/>
      <c r="CK10" s="296"/>
      <c r="CL10" s="296"/>
      <c r="CM10" s="296"/>
    </row>
    <row r="11" spans="1:91" ht="12.75">
      <c r="A11" s="138">
        <f>IF(Input!E59,CONCATENATE(Input!D59," #3"),"")</f>
      </c>
      <c r="B11" s="296"/>
      <c r="C11" s="296"/>
      <c r="D11" s="296"/>
      <c r="E11" s="296"/>
      <c r="F11" s="303"/>
      <c r="G11" s="303"/>
      <c r="H11" s="303"/>
      <c r="I11" s="296"/>
      <c r="J11" s="296"/>
      <c r="K11" s="296"/>
      <c r="L11" s="296"/>
      <c r="M11" s="296"/>
      <c r="N11" s="296"/>
      <c r="O11" s="296"/>
      <c r="P11" s="303"/>
      <c r="Q11" s="296"/>
      <c r="R11" s="296"/>
      <c r="S11" s="296"/>
      <c r="T11" s="296"/>
      <c r="U11" s="296"/>
      <c r="V11" s="296"/>
      <c r="W11" s="296"/>
      <c r="X11" s="296"/>
      <c r="Y11" s="296"/>
      <c r="Z11" s="296"/>
      <c r="AA11" s="296"/>
      <c r="AB11" s="296"/>
      <c r="AC11" s="296"/>
      <c r="AD11" s="296"/>
      <c r="AE11" s="296"/>
      <c r="AF11" s="303"/>
      <c r="AG11" s="303"/>
      <c r="AH11" s="297"/>
      <c r="AI11" s="303"/>
      <c r="AJ11" s="303"/>
      <c r="AK11" s="303"/>
      <c r="AL11" s="303"/>
      <c r="AM11" s="303"/>
      <c r="AN11" s="303"/>
      <c r="AO11" s="297"/>
      <c r="AP11" s="296"/>
      <c r="AQ11" s="296"/>
      <c r="AR11" s="296"/>
      <c r="AS11" s="296"/>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296"/>
      <c r="CA11" s="296"/>
      <c r="CB11" s="296"/>
      <c r="CC11" s="296"/>
      <c r="CD11" s="296"/>
      <c r="CE11" s="296"/>
      <c r="CF11" s="296"/>
      <c r="CG11" s="296"/>
      <c r="CH11" s="296"/>
      <c r="CI11" s="296"/>
      <c r="CJ11" s="296"/>
      <c r="CK11" s="296"/>
      <c r="CL11" s="296"/>
      <c r="CM11" s="296"/>
    </row>
    <row r="12" spans="1:91" ht="12.75">
      <c r="A12" s="138">
        <f>IF(Input!E61,CONCATENATE(Input!D61," #4"),"")</f>
      </c>
      <c r="B12" s="296"/>
      <c r="C12" s="296"/>
      <c r="D12" s="296"/>
      <c r="E12" s="296"/>
      <c r="F12" s="303"/>
      <c r="G12" s="303"/>
      <c r="H12" s="303"/>
      <c r="I12" s="296"/>
      <c r="J12" s="296"/>
      <c r="K12" s="296"/>
      <c r="L12" s="296"/>
      <c r="M12" s="296"/>
      <c r="N12" s="296"/>
      <c r="O12" s="296"/>
      <c r="P12" s="303"/>
      <c r="Q12" s="296"/>
      <c r="R12" s="296"/>
      <c r="S12" s="296"/>
      <c r="T12" s="296"/>
      <c r="U12" s="296"/>
      <c r="V12" s="296"/>
      <c r="W12" s="296"/>
      <c r="X12" s="296"/>
      <c r="Y12" s="296"/>
      <c r="Z12" s="296"/>
      <c r="AA12" s="296"/>
      <c r="AB12" s="296"/>
      <c r="AC12" s="296"/>
      <c r="AD12" s="296"/>
      <c r="AE12" s="296"/>
      <c r="AF12" s="303"/>
      <c r="AG12" s="303"/>
      <c r="AH12" s="297"/>
      <c r="AI12" s="303"/>
      <c r="AJ12" s="303"/>
      <c r="AK12" s="303"/>
      <c r="AL12" s="303"/>
      <c r="AM12" s="303"/>
      <c r="AN12" s="303"/>
      <c r="AO12" s="297"/>
      <c r="AP12" s="296"/>
      <c r="AQ12" s="296"/>
      <c r="AR12" s="296"/>
      <c r="AS12" s="296"/>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296"/>
      <c r="CA12" s="296"/>
      <c r="CB12" s="296"/>
      <c r="CC12" s="296"/>
      <c r="CD12" s="296"/>
      <c r="CE12" s="296"/>
      <c r="CF12" s="296"/>
      <c r="CG12" s="296"/>
      <c r="CH12" s="296"/>
      <c r="CI12" s="296"/>
      <c r="CJ12" s="296"/>
      <c r="CK12" s="296"/>
      <c r="CL12" s="296"/>
      <c r="CM12" s="296"/>
    </row>
    <row r="13" spans="1:91" ht="12.75">
      <c r="A13" s="138">
        <f>IF(Input!E63,CONCATENATE(Input!D63," #5"),"")</f>
      </c>
      <c r="B13" s="296"/>
      <c r="C13" s="296"/>
      <c r="D13" s="296"/>
      <c r="E13" s="296"/>
      <c r="F13" s="303"/>
      <c r="G13" s="303"/>
      <c r="H13" s="303"/>
      <c r="I13" s="296"/>
      <c r="J13" s="296"/>
      <c r="K13" s="296"/>
      <c r="L13" s="296"/>
      <c r="M13" s="296"/>
      <c r="N13" s="296"/>
      <c r="O13" s="296"/>
      <c r="P13" s="303"/>
      <c r="Q13" s="296"/>
      <c r="R13" s="296"/>
      <c r="S13" s="296"/>
      <c r="T13" s="296"/>
      <c r="U13" s="296"/>
      <c r="V13" s="296"/>
      <c r="W13" s="296"/>
      <c r="X13" s="296"/>
      <c r="Y13" s="296"/>
      <c r="Z13" s="296"/>
      <c r="AA13" s="296"/>
      <c r="AB13" s="296"/>
      <c r="AC13" s="296"/>
      <c r="AD13" s="296"/>
      <c r="AE13" s="296"/>
      <c r="AF13" s="303"/>
      <c r="AG13" s="303"/>
      <c r="AH13" s="297"/>
      <c r="AI13" s="303"/>
      <c r="AJ13" s="303"/>
      <c r="AK13" s="303"/>
      <c r="AL13" s="303"/>
      <c r="AM13" s="303"/>
      <c r="AN13" s="303"/>
      <c r="AO13" s="297"/>
      <c r="AP13" s="296"/>
      <c r="AQ13" s="296"/>
      <c r="AR13" s="296"/>
      <c r="AS13" s="296"/>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296"/>
      <c r="CA13" s="296"/>
      <c r="CB13" s="296"/>
      <c r="CC13" s="296"/>
      <c r="CD13" s="296"/>
      <c r="CE13" s="296"/>
      <c r="CF13" s="296"/>
      <c r="CG13" s="296"/>
      <c r="CH13" s="296"/>
      <c r="CI13" s="296"/>
      <c r="CJ13" s="296"/>
      <c r="CK13" s="296"/>
      <c r="CL13" s="296"/>
      <c r="CM13" s="296"/>
    </row>
    <row r="14" spans="1:91" ht="12.75">
      <c r="A14" s="138">
        <f>IF(Input!E65,CONCATENATE(Input!D65," #6"),"")</f>
      </c>
      <c r="B14" s="296"/>
      <c r="C14" s="296"/>
      <c r="D14" s="296"/>
      <c r="E14" s="296"/>
      <c r="F14" s="303"/>
      <c r="G14" s="303"/>
      <c r="H14" s="303"/>
      <c r="I14" s="296"/>
      <c r="J14" s="296"/>
      <c r="K14" s="296"/>
      <c r="L14" s="296"/>
      <c r="M14" s="296"/>
      <c r="N14" s="296"/>
      <c r="O14" s="296"/>
      <c r="P14" s="303"/>
      <c r="Q14" s="296"/>
      <c r="R14" s="296"/>
      <c r="S14" s="296"/>
      <c r="T14" s="296"/>
      <c r="U14" s="296"/>
      <c r="V14" s="296"/>
      <c r="W14" s="296"/>
      <c r="X14" s="296"/>
      <c r="Y14" s="296"/>
      <c r="Z14" s="296"/>
      <c r="AA14" s="296"/>
      <c r="AB14" s="296"/>
      <c r="AC14" s="296"/>
      <c r="AD14" s="296"/>
      <c r="AE14" s="296"/>
      <c r="AF14" s="303"/>
      <c r="AG14" s="303"/>
      <c r="AH14" s="297"/>
      <c r="AI14" s="303"/>
      <c r="AJ14" s="303"/>
      <c r="AK14" s="303"/>
      <c r="AL14" s="303"/>
      <c r="AM14" s="303"/>
      <c r="AN14" s="303"/>
      <c r="AO14" s="297"/>
      <c r="AP14" s="296"/>
      <c r="AQ14" s="296"/>
      <c r="AR14" s="296"/>
      <c r="AS14" s="296"/>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296"/>
      <c r="CA14" s="296"/>
      <c r="CB14" s="296"/>
      <c r="CC14" s="296"/>
      <c r="CD14" s="296"/>
      <c r="CE14" s="296"/>
      <c r="CF14" s="296"/>
      <c r="CG14" s="296"/>
      <c r="CH14" s="296"/>
      <c r="CI14" s="296"/>
      <c r="CJ14" s="296"/>
      <c r="CK14" s="296"/>
      <c r="CL14" s="296"/>
      <c r="CM14" s="296"/>
    </row>
    <row r="15" spans="1:91" ht="12.75">
      <c r="A15" s="138">
        <f>IF(Input!E67,CONCATENATE(Input!D67," #7"),"")</f>
      </c>
      <c r="B15" s="296"/>
      <c r="C15" s="296"/>
      <c r="D15" s="296"/>
      <c r="E15" s="296"/>
      <c r="F15" s="303"/>
      <c r="G15" s="303"/>
      <c r="H15" s="303"/>
      <c r="I15" s="296"/>
      <c r="J15" s="296"/>
      <c r="K15" s="296"/>
      <c r="L15" s="296"/>
      <c r="M15" s="296"/>
      <c r="N15" s="296"/>
      <c r="O15" s="296"/>
      <c r="P15" s="303"/>
      <c r="Q15" s="296"/>
      <c r="R15" s="296"/>
      <c r="S15" s="296"/>
      <c r="T15" s="296"/>
      <c r="U15" s="296"/>
      <c r="V15" s="296"/>
      <c r="W15" s="296"/>
      <c r="X15" s="296"/>
      <c r="Y15" s="296"/>
      <c r="Z15" s="296"/>
      <c r="AA15" s="296"/>
      <c r="AB15" s="296"/>
      <c r="AC15" s="296"/>
      <c r="AD15" s="296"/>
      <c r="AE15" s="296"/>
      <c r="AF15" s="303"/>
      <c r="AG15" s="303"/>
      <c r="AH15" s="297"/>
      <c r="AI15" s="303"/>
      <c r="AJ15" s="303"/>
      <c r="AK15" s="303"/>
      <c r="AL15" s="303"/>
      <c r="AM15" s="303"/>
      <c r="AN15" s="303"/>
      <c r="AO15" s="297"/>
      <c r="AP15" s="296"/>
      <c r="AQ15" s="296"/>
      <c r="AR15" s="296"/>
      <c r="AS15" s="296"/>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296"/>
      <c r="CA15" s="296"/>
      <c r="CB15" s="296"/>
      <c r="CC15" s="296"/>
      <c r="CD15" s="296"/>
      <c r="CE15" s="296"/>
      <c r="CF15" s="296"/>
      <c r="CG15" s="296"/>
      <c r="CH15" s="296"/>
      <c r="CI15" s="296"/>
      <c r="CJ15" s="296"/>
      <c r="CK15" s="296"/>
      <c r="CL15" s="296"/>
      <c r="CM15" s="296"/>
    </row>
    <row r="16" spans="1:91" ht="12.75">
      <c r="A16" s="138">
        <f>IF(Input!E69,CONCATENATE(Input!D69," #8"),"")</f>
      </c>
      <c r="B16" s="296"/>
      <c r="C16" s="296"/>
      <c r="D16" s="296"/>
      <c r="E16" s="296"/>
      <c r="F16" s="303"/>
      <c r="G16" s="303"/>
      <c r="H16" s="303"/>
      <c r="I16" s="296"/>
      <c r="J16" s="296"/>
      <c r="K16" s="296"/>
      <c r="L16" s="296"/>
      <c r="M16" s="296"/>
      <c r="N16" s="296"/>
      <c r="O16" s="296"/>
      <c r="P16" s="303"/>
      <c r="Q16" s="296"/>
      <c r="R16" s="296"/>
      <c r="S16" s="296"/>
      <c r="T16" s="296"/>
      <c r="U16" s="296"/>
      <c r="V16" s="296"/>
      <c r="W16" s="296"/>
      <c r="X16" s="296"/>
      <c r="Y16" s="296"/>
      <c r="Z16" s="296"/>
      <c r="AA16" s="296"/>
      <c r="AB16" s="296"/>
      <c r="AC16" s="296"/>
      <c r="AD16" s="296"/>
      <c r="AE16" s="296"/>
      <c r="AF16" s="303"/>
      <c r="AG16" s="303"/>
      <c r="AH16" s="297"/>
      <c r="AI16" s="303"/>
      <c r="AJ16" s="303"/>
      <c r="AK16" s="303"/>
      <c r="AL16" s="303"/>
      <c r="AM16" s="303"/>
      <c r="AN16" s="303"/>
      <c r="AO16" s="297"/>
      <c r="AP16" s="296"/>
      <c r="AQ16" s="296"/>
      <c r="AR16" s="296"/>
      <c r="AS16" s="296"/>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296"/>
      <c r="CA16" s="296"/>
      <c r="CB16" s="296"/>
      <c r="CC16" s="296"/>
      <c r="CD16" s="296"/>
      <c r="CE16" s="296"/>
      <c r="CF16" s="296"/>
      <c r="CG16" s="296"/>
      <c r="CH16" s="296"/>
      <c r="CI16" s="296"/>
      <c r="CJ16" s="296"/>
      <c r="CK16" s="296"/>
      <c r="CL16" s="296"/>
      <c r="CM16" s="296"/>
    </row>
    <row r="17" spans="1:91" ht="12.75">
      <c r="A17" s="138">
        <f>IF(Input!E71,CONCATENATE(Input!D71," #9"),"")</f>
      </c>
      <c r="B17" s="296"/>
      <c r="C17" s="296"/>
      <c r="D17" s="296"/>
      <c r="E17" s="296"/>
      <c r="F17" s="303"/>
      <c r="G17" s="303"/>
      <c r="H17" s="303"/>
      <c r="I17" s="296"/>
      <c r="J17" s="296"/>
      <c r="K17" s="296"/>
      <c r="L17" s="296"/>
      <c r="M17" s="296"/>
      <c r="N17" s="296"/>
      <c r="O17" s="296"/>
      <c r="P17" s="303"/>
      <c r="Q17" s="296"/>
      <c r="R17" s="296"/>
      <c r="S17" s="296"/>
      <c r="T17" s="296"/>
      <c r="U17" s="296"/>
      <c r="V17" s="296"/>
      <c r="W17" s="296"/>
      <c r="X17" s="296"/>
      <c r="Y17" s="296"/>
      <c r="Z17" s="296"/>
      <c r="AA17" s="296"/>
      <c r="AB17" s="296"/>
      <c r="AC17" s="296"/>
      <c r="AD17" s="296"/>
      <c r="AE17" s="296"/>
      <c r="AF17" s="303"/>
      <c r="AG17" s="303"/>
      <c r="AH17" s="297"/>
      <c r="AI17" s="303"/>
      <c r="AJ17" s="303"/>
      <c r="AK17" s="303"/>
      <c r="AL17" s="303"/>
      <c r="AM17" s="303"/>
      <c r="AN17" s="303"/>
      <c r="AO17" s="297"/>
      <c r="AP17" s="296"/>
      <c r="AQ17" s="296"/>
      <c r="AR17" s="296"/>
      <c r="AS17" s="296"/>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296"/>
      <c r="CA17" s="296"/>
      <c r="CB17" s="296"/>
      <c r="CC17" s="296"/>
      <c r="CD17" s="296"/>
      <c r="CE17" s="296"/>
      <c r="CF17" s="296"/>
      <c r="CG17" s="296"/>
      <c r="CH17" s="296"/>
      <c r="CI17" s="296"/>
      <c r="CJ17" s="296"/>
      <c r="CK17" s="296"/>
      <c r="CL17" s="296"/>
      <c r="CM17" s="296"/>
    </row>
    <row r="18" spans="1:91" ht="12.75">
      <c r="A18" s="138">
        <f>IF(Input!E73,CONCATENATE(Input!D73," #10"),"")</f>
      </c>
      <c r="B18" s="296"/>
      <c r="C18" s="296"/>
      <c r="D18" s="296"/>
      <c r="E18" s="296"/>
      <c r="F18" s="303"/>
      <c r="G18" s="303"/>
      <c r="H18" s="303"/>
      <c r="I18" s="296"/>
      <c r="J18" s="296"/>
      <c r="K18" s="296"/>
      <c r="L18" s="296"/>
      <c r="M18" s="296"/>
      <c r="N18" s="296"/>
      <c r="O18" s="296"/>
      <c r="P18" s="303"/>
      <c r="Q18" s="296"/>
      <c r="R18" s="296"/>
      <c r="S18" s="296"/>
      <c r="T18" s="296"/>
      <c r="U18" s="296"/>
      <c r="V18" s="296"/>
      <c r="W18" s="296"/>
      <c r="X18" s="296"/>
      <c r="Y18" s="296"/>
      <c r="Z18" s="296"/>
      <c r="AA18" s="296"/>
      <c r="AB18" s="296"/>
      <c r="AC18" s="296"/>
      <c r="AD18" s="296"/>
      <c r="AE18" s="296"/>
      <c r="AF18" s="303"/>
      <c r="AG18" s="303"/>
      <c r="AH18" s="297"/>
      <c r="AI18" s="303"/>
      <c r="AJ18" s="303"/>
      <c r="AK18" s="303"/>
      <c r="AL18" s="303"/>
      <c r="AM18" s="303"/>
      <c r="AN18" s="303"/>
      <c r="AO18" s="297"/>
      <c r="AP18" s="296"/>
      <c r="AQ18" s="296"/>
      <c r="AR18" s="296"/>
      <c r="AS18" s="296"/>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296"/>
      <c r="CA18" s="296"/>
      <c r="CB18" s="296"/>
      <c r="CC18" s="296"/>
      <c r="CD18" s="296"/>
      <c r="CE18" s="296"/>
      <c r="CF18" s="296"/>
      <c r="CG18" s="296"/>
      <c r="CH18" s="296"/>
      <c r="CI18" s="296"/>
      <c r="CJ18" s="296"/>
      <c r="CK18" s="296"/>
      <c r="CL18" s="296"/>
      <c r="CM18" s="296"/>
    </row>
    <row r="19" spans="1:91" ht="12.75">
      <c r="A19" s="138">
        <f>IF(Input!E75,CONCATENATE(Input!D75," #11"),"")</f>
      </c>
      <c r="B19" s="296"/>
      <c r="C19" s="296"/>
      <c r="D19" s="296"/>
      <c r="E19" s="296"/>
      <c r="F19" s="303"/>
      <c r="G19" s="303"/>
      <c r="H19" s="303"/>
      <c r="I19" s="296"/>
      <c r="J19" s="296"/>
      <c r="K19" s="296"/>
      <c r="L19" s="296"/>
      <c r="M19" s="296"/>
      <c r="N19" s="296"/>
      <c r="O19" s="296"/>
      <c r="P19" s="303"/>
      <c r="Q19" s="296"/>
      <c r="R19" s="296"/>
      <c r="S19" s="296"/>
      <c r="T19" s="296"/>
      <c r="U19" s="296"/>
      <c r="V19" s="296"/>
      <c r="W19" s="296"/>
      <c r="X19" s="296"/>
      <c r="Y19" s="296"/>
      <c r="Z19" s="296"/>
      <c r="AA19" s="296"/>
      <c r="AB19" s="296"/>
      <c r="AC19" s="296"/>
      <c r="AD19" s="296"/>
      <c r="AE19" s="296"/>
      <c r="AF19" s="303"/>
      <c r="AG19" s="303"/>
      <c r="AH19" s="297"/>
      <c r="AI19" s="303"/>
      <c r="AJ19" s="303"/>
      <c r="AK19" s="303"/>
      <c r="AL19" s="303"/>
      <c r="AM19" s="303"/>
      <c r="AN19" s="303"/>
      <c r="AO19" s="297"/>
      <c r="AP19" s="296"/>
      <c r="AQ19" s="296"/>
      <c r="AR19" s="296"/>
      <c r="AS19" s="296"/>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296"/>
      <c r="CA19" s="296"/>
      <c r="CB19" s="296"/>
      <c r="CC19" s="296"/>
      <c r="CD19" s="296"/>
      <c r="CE19" s="296"/>
      <c r="CF19" s="296"/>
      <c r="CG19" s="296"/>
      <c r="CH19" s="296"/>
      <c r="CI19" s="296"/>
      <c r="CJ19" s="296"/>
      <c r="CK19" s="296"/>
      <c r="CL19" s="296"/>
      <c r="CM19" s="296"/>
    </row>
    <row r="20" spans="1:91" ht="12.75">
      <c r="A20" s="138">
        <f>IF(Input!E77,CONCATENATE(Input!D77," #12"),"")</f>
      </c>
      <c r="B20" s="296"/>
      <c r="C20" s="296"/>
      <c r="D20" s="296"/>
      <c r="E20" s="296"/>
      <c r="F20" s="303"/>
      <c r="G20" s="303"/>
      <c r="H20" s="303"/>
      <c r="I20" s="296"/>
      <c r="J20" s="296"/>
      <c r="K20" s="296"/>
      <c r="L20" s="296"/>
      <c r="M20" s="296"/>
      <c r="N20" s="296"/>
      <c r="O20" s="296"/>
      <c r="P20" s="303"/>
      <c r="Q20" s="296"/>
      <c r="R20" s="296"/>
      <c r="S20" s="296"/>
      <c r="T20" s="296"/>
      <c r="U20" s="296"/>
      <c r="V20" s="296"/>
      <c r="W20" s="296"/>
      <c r="X20" s="296"/>
      <c r="Y20" s="296"/>
      <c r="Z20" s="296"/>
      <c r="AA20" s="296"/>
      <c r="AB20" s="296"/>
      <c r="AC20" s="296"/>
      <c r="AD20" s="296"/>
      <c r="AE20" s="296"/>
      <c r="AF20" s="303"/>
      <c r="AG20" s="303"/>
      <c r="AH20" s="297"/>
      <c r="AI20" s="303"/>
      <c r="AJ20" s="303"/>
      <c r="AK20" s="303"/>
      <c r="AL20" s="303"/>
      <c r="AM20" s="303"/>
      <c r="AN20" s="303"/>
      <c r="AO20" s="297"/>
      <c r="AP20" s="296"/>
      <c r="AQ20" s="296"/>
      <c r="AR20" s="296"/>
      <c r="AS20" s="296"/>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296"/>
      <c r="CA20" s="296"/>
      <c r="CB20" s="296"/>
      <c r="CC20" s="296"/>
      <c r="CD20" s="296"/>
      <c r="CE20" s="296"/>
      <c r="CF20" s="296"/>
      <c r="CG20" s="296"/>
      <c r="CH20" s="296"/>
      <c r="CI20" s="296"/>
      <c r="CJ20" s="296"/>
      <c r="CK20" s="296"/>
      <c r="CL20" s="296"/>
      <c r="CM20" s="296"/>
    </row>
    <row r="21" spans="1:91" ht="12.75">
      <c r="A21" s="138">
        <f>IF(Input!E79,CONCATENATE(Input!D79," #13"),"")</f>
      </c>
      <c r="B21" s="296"/>
      <c r="C21" s="296"/>
      <c r="D21" s="296"/>
      <c r="E21" s="296"/>
      <c r="F21" s="303"/>
      <c r="G21" s="303"/>
      <c r="H21" s="303"/>
      <c r="I21" s="296"/>
      <c r="J21" s="296"/>
      <c r="K21" s="296"/>
      <c r="L21" s="296"/>
      <c r="M21" s="296"/>
      <c r="N21" s="296"/>
      <c r="O21" s="296"/>
      <c r="P21" s="303"/>
      <c r="Q21" s="296"/>
      <c r="R21" s="296"/>
      <c r="S21" s="296"/>
      <c r="T21" s="296"/>
      <c r="U21" s="296"/>
      <c r="V21" s="296"/>
      <c r="W21" s="296"/>
      <c r="X21" s="296"/>
      <c r="Y21" s="296"/>
      <c r="Z21" s="296"/>
      <c r="AA21" s="296"/>
      <c r="AB21" s="296"/>
      <c r="AC21" s="296"/>
      <c r="AD21" s="296"/>
      <c r="AE21" s="296"/>
      <c r="AF21" s="303"/>
      <c r="AG21" s="303"/>
      <c r="AH21" s="297"/>
      <c r="AI21" s="303"/>
      <c r="AJ21" s="303"/>
      <c r="AK21" s="303"/>
      <c r="AL21" s="303"/>
      <c r="AM21" s="303"/>
      <c r="AN21" s="303"/>
      <c r="AO21" s="297"/>
      <c r="AP21" s="296"/>
      <c r="AQ21" s="296"/>
      <c r="AR21" s="296"/>
      <c r="AS21" s="296"/>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296"/>
      <c r="CA21" s="296"/>
      <c r="CB21" s="296"/>
      <c r="CC21" s="296"/>
      <c r="CD21" s="296"/>
      <c r="CE21" s="296"/>
      <c r="CF21" s="296"/>
      <c r="CG21" s="296"/>
      <c r="CH21" s="296"/>
      <c r="CI21" s="296"/>
      <c r="CJ21" s="296"/>
      <c r="CK21" s="296"/>
      <c r="CL21" s="296"/>
      <c r="CM21" s="296"/>
    </row>
    <row r="22" spans="1:91" ht="12.75">
      <c r="A22" s="138">
        <f>IF(Input!E81,CONCATENATE(Input!D81," #14"),"")</f>
      </c>
      <c r="B22" s="296"/>
      <c r="C22" s="296"/>
      <c r="D22" s="296"/>
      <c r="E22" s="296"/>
      <c r="F22" s="303"/>
      <c r="G22" s="303"/>
      <c r="H22" s="303"/>
      <c r="I22" s="296"/>
      <c r="J22" s="296"/>
      <c r="K22" s="296"/>
      <c r="L22" s="296"/>
      <c r="M22" s="296"/>
      <c r="N22" s="296"/>
      <c r="O22" s="296"/>
      <c r="P22" s="303"/>
      <c r="Q22" s="296"/>
      <c r="R22" s="296"/>
      <c r="S22" s="296"/>
      <c r="T22" s="296"/>
      <c r="U22" s="296"/>
      <c r="V22" s="296"/>
      <c r="W22" s="296"/>
      <c r="X22" s="296"/>
      <c r="Y22" s="296"/>
      <c r="Z22" s="296"/>
      <c r="AA22" s="296"/>
      <c r="AB22" s="296"/>
      <c r="AC22" s="296"/>
      <c r="AD22" s="296"/>
      <c r="AE22" s="296"/>
      <c r="AF22" s="303"/>
      <c r="AG22" s="303"/>
      <c r="AH22" s="297"/>
      <c r="AI22" s="303"/>
      <c r="AJ22" s="303"/>
      <c r="AK22" s="303"/>
      <c r="AL22" s="303"/>
      <c r="AM22" s="303"/>
      <c r="AN22" s="303"/>
      <c r="AO22" s="297"/>
      <c r="AP22" s="296"/>
      <c r="AQ22" s="296"/>
      <c r="AR22" s="296"/>
      <c r="AS22" s="296"/>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296"/>
      <c r="CA22" s="296"/>
      <c r="CB22" s="296"/>
      <c r="CC22" s="296"/>
      <c r="CD22" s="296"/>
      <c r="CE22" s="296"/>
      <c r="CF22" s="296"/>
      <c r="CG22" s="296"/>
      <c r="CH22" s="296"/>
      <c r="CI22" s="296"/>
      <c r="CJ22" s="296"/>
      <c r="CK22" s="296"/>
      <c r="CL22" s="296"/>
      <c r="CM22" s="296"/>
    </row>
    <row r="23" spans="1:91" ht="12.75">
      <c r="A23" s="138">
        <f>IF(Input!E83,CONCATENATE(Input!D83," #15"),"")</f>
      </c>
      <c r="B23" s="296"/>
      <c r="C23" s="296"/>
      <c r="D23" s="296"/>
      <c r="E23" s="296"/>
      <c r="F23" s="303"/>
      <c r="G23" s="303"/>
      <c r="H23" s="303"/>
      <c r="I23" s="296"/>
      <c r="J23" s="296"/>
      <c r="K23" s="296"/>
      <c r="L23" s="296"/>
      <c r="M23" s="296"/>
      <c r="N23" s="296"/>
      <c r="O23" s="296"/>
      <c r="P23" s="303"/>
      <c r="Q23" s="296"/>
      <c r="R23" s="296"/>
      <c r="S23" s="296"/>
      <c r="T23" s="296"/>
      <c r="U23" s="296"/>
      <c r="V23" s="296"/>
      <c r="W23" s="296"/>
      <c r="X23" s="296"/>
      <c r="Y23" s="296"/>
      <c r="Z23" s="296"/>
      <c r="AA23" s="296"/>
      <c r="AB23" s="296"/>
      <c r="AC23" s="296"/>
      <c r="AD23" s="296"/>
      <c r="AE23" s="296"/>
      <c r="AF23" s="303"/>
      <c r="AG23" s="303"/>
      <c r="AH23" s="297"/>
      <c r="AI23" s="303"/>
      <c r="AJ23" s="303"/>
      <c r="AK23" s="303"/>
      <c r="AL23" s="303"/>
      <c r="AM23" s="303"/>
      <c r="AN23" s="303"/>
      <c r="AO23" s="297"/>
      <c r="AP23" s="296"/>
      <c r="AQ23" s="296"/>
      <c r="AR23" s="296"/>
      <c r="AS23" s="296"/>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296"/>
      <c r="CA23" s="296"/>
      <c r="CB23" s="296"/>
      <c r="CC23" s="296"/>
      <c r="CD23" s="296"/>
      <c r="CE23" s="296"/>
      <c r="CF23" s="296"/>
      <c r="CG23" s="296"/>
      <c r="CH23" s="296"/>
      <c r="CI23" s="296"/>
      <c r="CJ23" s="296"/>
      <c r="CK23" s="296"/>
      <c r="CL23" s="296"/>
      <c r="CM23" s="296"/>
    </row>
    <row r="24" spans="1:91" ht="12.75">
      <c r="A24" s="138">
        <f>IF(Input!L55,CONCATENATE(Input!K55," #16"),"")</f>
      </c>
      <c r="B24" s="296"/>
      <c r="C24" s="296"/>
      <c r="D24" s="296"/>
      <c r="E24" s="296"/>
      <c r="F24" s="303"/>
      <c r="G24" s="303"/>
      <c r="H24" s="303"/>
      <c r="I24" s="296"/>
      <c r="J24" s="296"/>
      <c r="K24" s="296"/>
      <c r="L24" s="296"/>
      <c r="M24" s="296"/>
      <c r="N24" s="296"/>
      <c r="O24" s="296"/>
      <c r="P24" s="303"/>
      <c r="Q24" s="296"/>
      <c r="R24" s="296"/>
      <c r="S24" s="296"/>
      <c r="T24" s="296"/>
      <c r="U24" s="296"/>
      <c r="V24" s="296"/>
      <c r="W24" s="296"/>
      <c r="X24" s="296"/>
      <c r="Y24" s="296"/>
      <c r="Z24" s="296"/>
      <c r="AA24" s="296"/>
      <c r="AB24" s="296"/>
      <c r="AC24" s="296"/>
      <c r="AD24" s="296"/>
      <c r="AE24" s="296"/>
      <c r="AF24" s="303"/>
      <c r="AG24" s="303"/>
      <c r="AH24" s="297"/>
      <c r="AI24" s="303"/>
      <c r="AJ24" s="303"/>
      <c r="AK24" s="303"/>
      <c r="AL24" s="303"/>
      <c r="AM24" s="303"/>
      <c r="AN24" s="303"/>
      <c r="AO24" s="297"/>
      <c r="AP24" s="296"/>
      <c r="AQ24" s="296"/>
      <c r="AR24" s="296"/>
      <c r="AS24" s="296"/>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296"/>
      <c r="CA24" s="296"/>
      <c r="CB24" s="296"/>
      <c r="CC24" s="296"/>
      <c r="CD24" s="296"/>
      <c r="CE24" s="296"/>
      <c r="CF24" s="296"/>
      <c r="CG24" s="296"/>
      <c r="CH24" s="296"/>
      <c r="CI24" s="296"/>
      <c r="CJ24" s="296"/>
      <c r="CK24" s="296"/>
      <c r="CL24" s="296"/>
      <c r="CM24" s="296"/>
    </row>
    <row r="25" spans="1:91" ht="12.75">
      <c r="A25" s="138">
        <f>IF(Input!L57,CONCATENATE(Input!K57," #17"),"")</f>
      </c>
      <c r="B25" s="296"/>
      <c r="C25" s="296"/>
      <c r="D25" s="296"/>
      <c r="E25" s="296"/>
      <c r="F25" s="303"/>
      <c r="G25" s="303"/>
      <c r="H25" s="303"/>
      <c r="I25" s="296"/>
      <c r="J25" s="296"/>
      <c r="K25" s="296"/>
      <c r="L25" s="296"/>
      <c r="M25" s="296"/>
      <c r="N25" s="296"/>
      <c r="O25" s="296"/>
      <c r="P25" s="303"/>
      <c r="Q25" s="296"/>
      <c r="R25" s="296"/>
      <c r="S25" s="296"/>
      <c r="T25" s="296"/>
      <c r="U25" s="296"/>
      <c r="V25" s="296"/>
      <c r="W25" s="296"/>
      <c r="X25" s="296"/>
      <c r="Y25" s="296"/>
      <c r="Z25" s="296"/>
      <c r="AA25" s="296"/>
      <c r="AB25" s="296"/>
      <c r="AC25" s="296"/>
      <c r="AD25" s="296"/>
      <c r="AE25" s="296"/>
      <c r="AF25" s="303"/>
      <c r="AG25" s="303"/>
      <c r="AH25" s="297"/>
      <c r="AI25" s="303"/>
      <c r="AJ25" s="303"/>
      <c r="AK25" s="303"/>
      <c r="AL25" s="303"/>
      <c r="AM25" s="303"/>
      <c r="AN25" s="303"/>
      <c r="AO25" s="297"/>
      <c r="AP25" s="296"/>
      <c r="AQ25" s="296"/>
      <c r="AR25" s="296"/>
      <c r="AS25" s="296"/>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296"/>
      <c r="CA25" s="296"/>
      <c r="CB25" s="296"/>
      <c r="CC25" s="296"/>
      <c r="CD25" s="296"/>
      <c r="CE25" s="296"/>
      <c r="CF25" s="296"/>
      <c r="CG25" s="296"/>
      <c r="CH25" s="296"/>
      <c r="CI25" s="296"/>
      <c r="CJ25" s="296"/>
      <c r="CK25" s="296"/>
      <c r="CL25" s="296"/>
      <c r="CM25" s="296"/>
    </row>
    <row r="26" spans="1:91" ht="12.75">
      <c r="A26" s="138">
        <f>IF(Input!L59,CONCATENATE(Input!K59," #18"),"")</f>
      </c>
      <c r="B26" s="296"/>
      <c r="C26" s="296"/>
      <c r="D26" s="296"/>
      <c r="E26" s="296"/>
      <c r="F26" s="303"/>
      <c r="G26" s="303"/>
      <c r="H26" s="303"/>
      <c r="I26" s="296"/>
      <c r="J26" s="296"/>
      <c r="K26" s="296"/>
      <c r="L26" s="296"/>
      <c r="M26" s="296"/>
      <c r="N26" s="296"/>
      <c r="O26" s="296"/>
      <c r="P26" s="303"/>
      <c r="Q26" s="296"/>
      <c r="R26" s="296"/>
      <c r="S26" s="296"/>
      <c r="T26" s="296"/>
      <c r="U26" s="296"/>
      <c r="V26" s="296"/>
      <c r="W26" s="296"/>
      <c r="X26" s="296"/>
      <c r="Y26" s="296"/>
      <c r="Z26" s="296"/>
      <c r="AA26" s="296"/>
      <c r="AB26" s="296"/>
      <c r="AC26" s="296"/>
      <c r="AD26" s="296"/>
      <c r="AE26" s="296"/>
      <c r="AF26" s="303"/>
      <c r="AG26" s="303"/>
      <c r="AH26" s="297"/>
      <c r="AI26" s="303"/>
      <c r="AJ26" s="303"/>
      <c r="AK26" s="303"/>
      <c r="AL26" s="303"/>
      <c r="AM26" s="303"/>
      <c r="AN26" s="303"/>
      <c r="AO26" s="297"/>
      <c r="AP26" s="296"/>
      <c r="AQ26" s="296"/>
      <c r="AR26" s="296"/>
      <c r="AS26" s="296"/>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296"/>
      <c r="CA26" s="296"/>
      <c r="CB26" s="296"/>
      <c r="CC26" s="296"/>
      <c r="CD26" s="296"/>
      <c r="CE26" s="296"/>
      <c r="CF26" s="296"/>
      <c r="CG26" s="296"/>
      <c r="CH26" s="296"/>
      <c r="CI26" s="296"/>
      <c r="CJ26" s="296"/>
      <c r="CK26" s="296"/>
      <c r="CL26" s="296"/>
      <c r="CM26" s="296"/>
    </row>
    <row r="27" spans="1:91" ht="12.75">
      <c r="A27" s="138">
        <f>IF(Input!L61,CONCATENATE(Input!K61," #19"),"")</f>
      </c>
      <c r="B27" s="296"/>
      <c r="C27" s="296"/>
      <c r="D27" s="296"/>
      <c r="E27" s="296"/>
      <c r="F27" s="303"/>
      <c r="G27" s="303"/>
      <c r="H27" s="303"/>
      <c r="I27" s="296"/>
      <c r="J27" s="296"/>
      <c r="K27" s="296"/>
      <c r="L27" s="296"/>
      <c r="M27" s="296"/>
      <c r="N27" s="296"/>
      <c r="O27" s="296"/>
      <c r="P27" s="303"/>
      <c r="Q27" s="296"/>
      <c r="R27" s="296"/>
      <c r="S27" s="296"/>
      <c r="T27" s="296"/>
      <c r="U27" s="296"/>
      <c r="V27" s="296"/>
      <c r="W27" s="296"/>
      <c r="X27" s="296"/>
      <c r="Y27" s="296"/>
      <c r="Z27" s="296"/>
      <c r="AA27" s="296"/>
      <c r="AB27" s="296"/>
      <c r="AC27" s="296"/>
      <c r="AD27" s="296"/>
      <c r="AE27" s="296"/>
      <c r="AF27" s="303"/>
      <c r="AG27" s="303"/>
      <c r="AH27" s="297"/>
      <c r="AI27" s="303"/>
      <c r="AJ27" s="303"/>
      <c r="AK27" s="303"/>
      <c r="AL27" s="303"/>
      <c r="AM27" s="303"/>
      <c r="AN27" s="303"/>
      <c r="AO27" s="297"/>
      <c r="AP27" s="296"/>
      <c r="AQ27" s="296"/>
      <c r="AR27" s="296"/>
      <c r="AS27" s="296"/>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296"/>
      <c r="CA27" s="296"/>
      <c r="CB27" s="296"/>
      <c r="CC27" s="296"/>
      <c r="CD27" s="296"/>
      <c r="CE27" s="296"/>
      <c r="CF27" s="296"/>
      <c r="CG27" s="296"/>
      <c r="CH27" s="296"/>
      <c r="CI27" s="296"/>
      <c r="CJ27" s="296"/>
      <c r="CK27" s="296"/>
      <c r="CL27" s="296"/>
      <c r="CM27" s="296"/>
    </row>
    <row r="28" spans="1:91" ht="12.75">
      <c r="A28" s="138">
        <f>IF(Input!L63,CONCATENATE(Input!K63," #20"),"")</f>
      </c>
      <c r="B28" s="296"/>
      <c r="C28" s="296"/>
      <c r="D28" s="296"/>
      <c r="E28" s="296"/>
      <c r="F28" s="303"/>
      <c r="G28" s="303"/>
      <c r="H28" s="303"/>
      <c r="I28" s="296"/>
      <c r="J28" s="296"/>
      <c r="K28" s="296"/>
      <c r="L28" s="296"/>
      <c r="M28" s="296"/>
      <c r="N28" s="296"/>
      <c r="O28" s="296"/>
      <c r="P28" s="303"/>
      <c r="Q28" s="296"/>
      <c r="R28" s="296"/>
      <c r="S28" s="296"/>
      <c r="T28" s="296"/>
      <c r="U28" s="296"/>
      <c r="V28" s="296"/>
      <c r="W28" s="296"/>
      <c r="X28" s="296"/>
      <c r="Y28" s="296"/>
      <c r="Z28" s="296"/>
      <c r="AA28" s="296"/>
      <c r="AB28" s="296"/>
      <c r="AC28" s="296"/>
      <c r="AD28" s="296"/>
      <c r="AE28" s="296"/>
      <c r="AF28" s="303"/>
      <c r="AG28" s="303"/>
      <c r="AH28" s="297"/>
      <c r="AI28" s="303"/>
      <c r="AJ28" s="303"/>
      <c r="AK28" s="303"/>
      <c r="AL28" s="303"/>
      <c r="AM28" s="303"/>
      <c r="AN28" s="303"/>
      <c r="AO28" s="297"/>
      <c r="AP28" s="296"/>
      <c r="AQ28" s="296"/>
      <c r="AR28" s="296"/>
      <c r="AS28" s="296"/>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296"/>
      <c r="CA28" s="296"/>
      <c r="CB28" s="296"/>
      <c r="CC28" s="296"/>
      <c r="CD28" s="296"/>
      <c r="CE28" s="296"/>
      <c r="CF28" s="296"/>
      <c r="CG28" s="296"/>
      <c r="CH28" s="296"/>
      <c r="CI28" s="296"/>
      <c r="CJ28" s="296"/>
      <c r="CK28" s="296"/>
      <c r="CL28" s="296"/>
      <c r="CM28" s="296"/>
    </row>
    <row r="29" spans="1:91" ht="12.75">
      <c r="A29" s="138">
        <f>IF(Input!L65,CONCATENATE(Input!K65," #21"),"")</f>
      </c>
      <c r="B29" s="296"/>
      <c r="C29" s="296"/>
      <c r="D29" s="296"/>
      <c r="E29" s="296"/>
      <c r="F29" s="303"/>
      <c r="G29" s="303"/>
      <c r="H29" s="303"/>
      <c r="I29" s="296"/>
      <c r="J29" s="296"/>
      <c r="K29" s="296"/>
      <c r="L29" s="296"/>
      <c r="M29" s="296"/>
      <c r="N29" s="296"/>
      <c r="O29" s="296"/>
      <c r="P29" s="303"/>
      <c r="Q29" s="296"/>
      <c r="R29" s="296"/>
      <c r="S29" s="296"/>
      <c r="T29" s="296"/>
      <c r="U29" s="296"/>
      <c r="V29" s="296"/>
      <c r="W29" s="296"/>
      <c r="X29" s="296"/>
      <c r="Y29" s="296"/>
      <c r="Z29" s="296"/>
      <c r="AA29" s="296"/>
      <c r="AB29" s="296"/>
      <c r="AC29" s="296"/>
      <c r="AD29" s="296"/>
      <c r="AE29" s="296"/>
      <c r="AF29" s="303"/>
      <c r="AG29" s="303"/>
      <c r="AH29" s="297"/>
      <c r="AI29" s="303"/>
      <c r="AJ29" s="303"/>
      <c r="AK29" s="303"/>
      <c r="AL29" s="303"/>
      <c r="AM29" s="303"/>
      <c r="AN29" s="303"/>
      <c r="AO29" s="297"/>
      <c r="AP29" s="296"/>
      <c r="AQ29" s="296"/>
      <c r="AR29" s="296"/>
      <c r="AS29" s="296"/>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296"/>
      <c r="CA29" s="296"/>
      <c r="CB29" s="296"/>
      <c r="CC29" s="296"/>
      <c r="CD29" s="296"/>
      <c r="CE29" s="296"/>
      <c r="CF29" s="296"/>
      <c r="CG29" s="296"/>
      <c r="CH29" s="296"/>
      <c r="CI29" s="296"/>
      <c r="CJ29" s="296"/>
      <c r="CK29" s="296"/>
      <c r="CL29" s="296"/>
      <c r="CM29" s="296"/>
    </row>
    <row r="30" spans="1:91" ht="12.75">
      <c r="A30" s="138">
        <f>IF(Input!L67,CONCATENATE(Input!K67," #22"),"")</f>
      </c>
      <c r="B30" s="296"/>
      <c r="C30" s="296"/>
      <c r="D30" s="296"/>
      <c r="E30" s="296"/>
      <c r="F30" s="303"/>
      <c r="G30" s="303"/>
      <c r="H30" s="303"/>
      <c r="I30" s="296"/>
      <c r="J30" s="296"/>
      <c r="K30" s="296"/>
      <c r="L30" s="296"/>
      <c r="M30" s="296"/>
      <c r="N30" s="296"/>
      <c r="O30" s="296"/>
      <c r="P30" s="303"/>
      <c r="Q30" s="296"/>
      <c r="R30" s="296"/>
      <c r="S30" s="296"/>
      <c r="T30" s="296"/>
      <c r="U30" s="296"/>
      <c r="V30" s="296"/>
      <c r="W30" s="296"/>
      <c r="X30" s="296"/>
      <c r="Y30" s="296"/>
      <c r="Z30" s="296"/>
      <c r="AA30" s="296"/>
      <c r="AB30" s="296"/>
      <c r="AC30" s="296"/>
      <c r="AD30" s="296"/>
      <c r="AE30" s="296"/>
      <c r="AF30" s="303"/>
      <c r="AG30" s="303"/>
      <c r="AH30" s="297"/>
      <c r="AI30" s="303"/>
      <c r="AJ30" s="303"/>
      <c r="AK30" s="303"/>
      <c r="AL30" s="303"/>
      <c r="AM30" s="303"/>
      <c r="AN30" s="303"/>
      <c r="AO30" s="297"/>
      <c r="AP30" s="296"/>
      <c r="AQ30" s="296"/>
      <c r="AR30" s="296"/>
      <c r="AS30" s="296"/>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296"/>
      <c r="CA30" s="296"/>
      <c r="CB30" s="296"/>
      <c r="CC30" s="296"/>
      <c r="CD30" s="296"/>
      <c r="CE30" s="296"/>
      <c r="CF30" s="296"/>
      <c r="CG30" s="296"/>
      <c r="CH30" s="296"/>
      <c r="CI30" s="296"/>
      <c r="CJ30" s="296"/>
      <c r="CK30" s="296"/>
      <c r="CL30" s="296"/>
      <c r="CM30" s="296"/>
    </row>
    <row r="31" spans="1:91" ht="12.75">
      <c r="A31" s="138">
        <f>IF(Input!L69,CONCATENATE(Input!K69," #23"),"")</f>
      </c>
      <c r="B31" s="296"/>
      <c r="C31" s="296"/>
      <c r="D31" s="296"/>
      <c r="E31" s="296"/>
      <c r="F31" s="303"/>
      <c r="G31" s="303"/>
      <c r="H31" s="303"/>
      <c r="I31" s="296"/>
      <c r="J31" s="296"/>
      <c r="K31" s="296"/>
      <c r="L31" s="296"/>
      <c r="M31" s="296"/>
      <c r="N31" s="296"/>
      <c r="O31" s="296"/>
      <c r="P31" s="303"/>
      <c r="Q31" s="296"/>
      <c r="R31" s="296"/>
      <c r="S31" s="296"/>
      <c r="T31" s="296"/>
      <c r="U31" s="296"/>
      <c r="V31" s="296"/>
      <c r="W31" s="296"/>
      <c r="X31" s="296"/>
      <c r="Y31" s="296"/>
      <c r="Z31" s="296"/>
      <c r="AA31" s="296"/>
      <c r="AB31" s="296"/>
      <c r="AC31" s="296"/>
      <c r="AD31" s="296"/>
      <c r="AE31" s="296"/>
      <c r="AF31" s="303"/>
      <c r="AG31" s="303"/>
      <c r="AH31" s="297"/>
      <c r="AI31" s="303"/>
      <c r="AJ31" s="303"/>
      <c r="AK31" s="303"/>
      <c r="AL31" s="303"/>
      <c r="AM31" s="303"/>
      <c r="AN31" s="303"/>
      <c r="AO31" s="297"/>
      <c r="AP31" s="296"/>
      <c r="AQ31" s="296"/>
      <c r="AR31" s="296"/>
      <c r="AS31" s="296"/>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296"/>
      <c r="CA31" s="296"/>
      <c r="CB31" s="296"/>
      <c r="CC31" s="296"/>
      <c r="CD31" s="296"/>
      <c r="CE31" s="296"/>
      <c r="CF31" s="296"/>
      <c r="CG31" s="296"/>
      <c r="CH31" s="296"/>
      <c r="CI31" s="296"/>
      <c r="CJ31" s="296"/>
      <c r="CK31" s="296"/>
      <c r="CL31" s="296"/>
      <c r="CM31" s="296"/>
    </row>
    <row r="32" spans="1:91" ht="12.75">
      <c r="A32" s="138">
        <f>IF(Input!L71,CONCATENATE(Input!K71," #24"),"")</f>
      </c>
      <c r="B32" s="296"/>
      <c r="C32" s="296"/>
      <c r="D32" s="296"/>
      <c r="E32" s="296"/>
      <c r="F32" s="303"/>
      <c r="G32" s="303"/>
      <c r="H32" s="303"/>
      <c r="I32" s="296"/>
      <c r="J32" s="296"/>
      <c r="K32" s="296"/>
      <c r="L32" s="296"/>
      <c r="M32" s="296"/>
      <c r="N32" s="296"/>
      <c r="O32" s="296"/>
      <c r="P32" s="303"/>
      <c r="Q32" s="296"/>
      <c r="R32" s="296"/>
      <c r="S32" s="296"/>
      <c r="T32" s="296"/>
      <c r="U32" s="296"/>
      <c r="V32" s="296"/>
      <c r="W32" s="296"/>
      <c r="X32" s="296"/>
      <c r="Y32" s="296"/>
      <c r="Z32" s="296"/>
      <c r="AA32" s="296"/>
      <c r="AB32" s="296"/>
      <c r="AC32" s="296"/>
      <c r="AD32" s="296"/>
      <c r="AE32" s="296"/>
      <c r="AF32" s="303"/>
      <c r="AG32" s="303"/>
      <c r="AH32" s="297"/>
      <c r="AI32" s="303"/>
      <c r="AJ32" s="303"/>
      <c r="AK32" s="303"/>
      <c r="AL32" s="303"/>
      <c r="AM32" s="303"/>
      <c r="AN32" s="303"/>
      <c r="AO32" s="297"/>
      <c r="AP32" s="296"/>
      <c r="AQ32" s="296"/>
      <c r="AR32" s="296"/>
      <c r="AS32" s="296"/>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296"/>
      <c r="CA32" s="296"/>
      <c r="CB32" s="296"/>
      <c r="CC32" s="296"/>
      <c r="CD32" s="296"/>
      <c r="CE32" s="296"/>
      <c r="CF32" s="296"/>
      <c r="CG32" s="296"/>
      <c r="CH32" s="296"/>
      <c r="CI32" s="296"/>
      <c r="CJ32" s="296"/>
      <c r="CK32" s="296"/>
      <c r="CL32" s="296"/>
      <c r="CM32" s="296"/>
    </row>
    <row r="33" spans="1:91" ht="12.75">
      <c r="A33" s="138">
        <f>IF(Input!L73,CONCATENATE(Input!K73," #25"),"")</f>
      </c>
      <c r="B33" s="296"/>
      <c r="C33" s="296"/>
      <c r="D33" s="296"/>
      <c r="E33" s="296"/>
      <c r="F33" s="303"/>
      <c r="G33" s="303"/>
      <c r="H33" s="303"/>
      <c r="I33" s="296"/>
      <c r="J33" s="296"/>
      <c r="K33" s="296"/>
      <c r="L33" s="296"/>
      <c r="M33" s="296"/>
      <c r="N33" s="296"/>
      <c r="O33" s="296"/>
      <c r="P33" s="303"/>
      <c r="Q33" s="296"/>
      <c r="R33" s="296"/>
      <c r="S33" s="296"/>
      <c r="T33" s="296"/>
      <c r="U33" s="296"/>
      <c r="V33" s="296"/>
      <c r="W33" s="296"/>
      <c r="X33" s="296"/>
      <c r="Y33" s="296"/>
      <c r="Z33" s="296"/>
      <c r="AA33" s="296"/>
      <c r="AB33" s="296"/>
      <c r="AC33" s="296"/>
      <c r="AD33" s="296"/>
      <c r="AE33" s="296"/>
      <c r="AF33" s="303"/>
      <c r="AG33" s="303"/>
      <c r="AH33" s="297"/>
      <c r="AI33" s="303"/>
      <c r="AJ33" s="303"/>
      <c r="AK33" s="303"/>
      <c r="AL33" s="303"/>
      <c r="AM33" s="303"/>
      <c r="AN33" s="303"/>
      <c r="AO33" s="297"/>
      <c r="AP33" s="296"/>
      <c r="AQ33" s="296"/>
      <c r="AR33" s="296"/>
      <c r="AS33" s="296"/>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296"/>
      <c r="CA33" s="296"/>
      <c r="CB33" s="296"/>
      <c r="CC33" s="296"/>
      <c r="CD33" s="296"/>
      <c r="CE33" s="296"/>
      <c r="CF33" s="296"/>
      <c r="CG33" s="296"/>
      <c r="CH33" s="296"/>
      <c r="CI33" s="296"/>
      <c r="CJ33" s="296"/>
      <c r="CK33" s="296"/>
      <c r="CL33" s="296"/>
      <c r="CM33" s="296"/>
    </row>
    <row r="34" spans="1:91" ht="12.75">
      <c r="A34" s="138">
        <f>IF(Input!L75,CONCATENATE(Input!K75," #26"),"")</f>
      </c>
      <c r="B34" s="296"/>
      <c r="C34" s="296"/>
      <c r="D34" s="296"/>
      <c r="E34" s="296"/>
      <c r="F34" s="303"/>
      <c r="G34" s="303"/>
      <c r="H34" s="303"/>
      <c r="I34" s="296"/>
      <c r="J34" s="296"/>
      <c r="K34" s="296"/>
      <c r="L34" s="296"/>
      <c r="M34" s="296"/>
      <c r="N34" s="296"/>
      <c r="O34" s="296"/>
      <c r="P34" s="303"/>
      <c r="Q34" s="296"/>
      <c r="R34" s="296"/>
      <c r="S34" s="296"/>
      <c r="T34" s="296"/>
      <c r="U34" s="296"/>
      <c r="V34" s="296"/>
      <c r="W34" s="296"/>
      <c r="X34" s="296"/>
      <c r="Y34" s="296"/>
      <c r="Z34" s="296"/>
      <c r="AA34" s="296"/>
      <c r="AB34" s="296"/>
      <c r="AC34" s="296"/>
      <c r="AD34" s="296"/>
      <c r="AE34" s="296"/>
      <c r="AF34" s="303"/>
      <c r="AG34" s="303"/>
      <c r="AH34" s="297"/>
      <c r="AI34" s="303"/>
      <c r="AJ34" s="303"/>
      <c r="AK34" s="303"/>
      <c r="AL34" s="303"/>
      <c r="AM34" s="303"/>
      <c r="AN34" s="303"/>
      <c r="AO34" s="297"/>
      <c r="AP34" s="296"/>
      <c r="AQ34" s="296"/>
      <c r="AR34" s="296"/>
      <c r="AS34" s="296"/>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296"/>
      <c r="CA34" s="296"/>
      <c r="CB34" s="296"/>
      <c r="CC34" s="296"/>
      <c r="CD34" s="296"/>
      <c r="CE34" s="296"/>
      <c r="CF34" s="296"/>
      <c r="CG34" s="296"/>
      <c r="CH34" s="296"/>
      <c r="CI34" s="296"/>
      <c r="CJ34" s="296"/>
      <c r="CK34" s="296"/>
      <c r="CL34" s="296"/>
      <c r="CM34" s="296"/>
    </row>
    <row r="35" spans="1:91" ht="12.75">
      <c r="A35" s="138">
        <f>IF(Input!L77,CONCATENATE(Input!K77," #27"),"")</f>
      </c>
      <c r="B35" s="296"/>
      <c r="C35" s="296"/>
      <c r="D35" s="296"/>
      <c r="E35" s="296"/>
      <c r="F35" s="303"/>
      <c r="G35" s="303"/>
      <c r="H35" s="303"/>
      <c r="I35" s="296"/>
      <c r="J35" s="296"/>
      <c r="K35" s="296"/>
      <c r="L35" s="296"/>
      <c r="M35" s="296"/>
      <c r="N35" s="296"/>
      <c r="O35" s="296"/>
      <c r="P35" s="303"/>
      <c r="Q35" s="296"/>
      <c r="R35" s="296"/>
      <c r="S35" s="296"/>
      <c r="T35" s="296"/>
      <c r="U35" s="296"/>
      <c r="V35" s="296"/>
      <c r="W35" s="296"/>
      <c r="X35" s="296"/>
      <c r="Y35" s="296"/>
      <c r="Z35" s="296"/>
      <c r="AA35" s="296"/>
      <c r="AB35" s="296"/>
      <c r="AC35" s="296"/>
      <c r="AD35" s="296"/>
      <c r="AE35" s="296"/>
      <c r="AF35" s="303"/>
      <c r="AG35" s="303"/>
      <c r="AH35" s="297"/>
      <c r="AI35" s="303"/>
      <c r="AJ35" s="303"/>
      <c r="AK35" s="303"/>
      <c r="AL35" s="303"/>
      <c r="AM35" s="303"/>
      <c r="AN35" s="303"/>
      <c r="AO35" s="297"/>
      <c r="AP35" s="296"/>
      <c r="AQ35" s="296"/>
      <c r="AR35" s="296"/>
      <c r="AS35" s="296"/>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296"/>
      <c r="CA35" s="296"/>
      <c r="CB35" s="296"/>
      <c r="CC35" s="296"/>
      <c r="CD35" s="296"/>
      <c r="CE35" s="296"/>
      <c r="CF35" s="296"/>
      <c r="CG35" s="296"/>
      <c r="CH35" s="296"/>
      <c r="CI35" s="296"/>
      <c r="CJ35" s="296"/>
      <c r="CK35" s="296"/>
      <c r="CL35" s="296"/>
      <c r="CM35" s="296"/>
    </row>
    <row r="36" spans="1:91" ht="12.75">
      <c r="A36" s="138">
        <f>IF(Input!L79,CONCATENATE(Input!K79," #28"),"")</f>
      </c>
      <c r="B36" s="296"/>
      <c r="C36" s="296"/>
      <c r="D36" s="296"/>
      <c r="E36" s="296"/>
      <c r="F36" s="303"/>
      <c r="G36" s="303"/>
      <c r="H36" s="303"/>
      <c r="I36" s="296"/>
      <c r="J36" s="296"/>
      <c r="K36" s="296"/>
      <c r="L36" s="296"/>
      <c r="M36" s="296"/>
      <c r="N36" s="296"/>
      <c r="O36" s="296"/>
      <c r="P36" s="303"/>
      <c r="Q36" s="296"/>
      <c r="R36" s="296"/>
      <c r="S36" s="296"/>
      <c r="T36" s="296"/>
      <c r="U36" s="296"/>
      <c r="V36" s="296"/>
      <c r="W36" s="296"/>
      <c r="X36" s="296"/>
      <c r="Y36" s="296"/>
      <c r="Z36" s="296"/>
      <c r="AA36" s="296"/>
      <c r="AB36" s="296"/>
      <c r="AC36" s="296"/>
      <c r="AD36" s="296"/>
      <c r="AE36" s="296"/>
      <c r="AF36" s="303"/>
      <c r="AG36" s="303"/>
      <c r="AH36" s="297"/>
      <c r="AI36" s="303"/>
      <c r="AJ36" s="303"/>
      <c r="AK36" s="303"/>
      <c r="AL36" s="303"/>
      <c r="AM36" s="303"/>
      <c r="AN36" s="303"/>
      <c r="AO36" s="297"/>
      <c r="AP36" s="296"/>
      <c r="AQ36" s="296"/>
      <c r="AR36" s="296"/>
      <c r="AS36" s="296"/>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296"/>
      <c r="CA36" s="296"/>
      <c r="CB36" s="296"/>
      <c r="CC36" s="296"/>
      <c r="CD36" s="296"/>
      <c r="CE36" s="296"/>
      <c r="CF36" s="296"/>
      <c r="CG36" s="296"/>
      <c r="CH36" s="296"/>
      <c r="CI36" s="296"/>
      <c r="CJ36" s="296"/>
      <c r="CK36" s="296"/>
      <c r="CL36" s="296"/>
      <c r="CM36" s="296"/>
    </row>
    <row r="37" spans="1:91" ht="13.5" thickBot="1">
      <c r="A37" s="139">
        <f>IF(Input!L81,CONCATENATE(Input!K81," #29"),"")</f>
      </c>
      <c r="B37" s="298"/>
      <c r="C37" s="298"/>
      <c r="D37" s="298"/>
      <c r="E37" s="298"/>
      <c r="F37" s="304"/>
      <c r="G37" s="304"/>
      <c r="H37" s="304"/>
      <c r="I37" s="298"/>
      <c r="J37" s="298"/>
      <c r="K37" s="298"/>
      <c r="L37" s="298"/>
      <c r="M37" s="298"/>
      <c r="N37" s="298"/>
      <c r="O37" s="298"/>
      <c r="P37" s="304"/>
      <c r="Q37" s="298"/>
      <c r="R37" s="298"/>
      <c r="S37" s="298"/>
      <c r="T37" s="298"/>
      <c r="U37" s="298"/>
      <c r="V37" s="298"/>
      <c r="W37" s="298"/>
      <c r="X37" s="298"/>
      <c r="Y37" s="298"/>
      <c r="Z37" s="298"/>
      <c r="AA37" s="298"/>
      <c r="AB37" s="298"/>
      <c r="AC37" s="298"/>
      <c r="AD37" s="298"/>
      <c r="AE37" s="298"/>
      <c r="AF37" s="304"/>
      <c r="AG37" s="304"/>
      <c r="AH37" s="299"/>
      <c r="AI37" s="304"/>
      <c r="AJ37" s="304"/>
      <c r="AK37" s="304"/>
      <c r="AL37" s="304"/>
      <c r="AM37" s="304"/>
      <c r="AN37" s="304"/>
      <c r="AO37" s="299"/>
      <c r="AP37" s="298"/>
      <c r="AQ37" s="298"/>
      <c r="AR37" s="298"/>
      <c r="AS37" s="298"/>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298"/>
      <c r="CA37" s="298"/>
      <c r="CB37" s="298"/>
      <c r="CC37" s="298"/>
      <c r="CD37" s="298"/>
      <c r="CE37" s="298"/>
      <c r="CF37" s="298"/>
      <c r="CG37" s="298"/>
      <c r="CH37" s="298"/>
      <c r="CI37" s="298"/>
      <c r="CJ37" s="298"/>
      <c r="CK37" s="298"/>
      <c r="CL37" s="298"/>
      <c r="CM37" s="298"/>
    </row>
    <row r="38" spans="1:91" ht="13.5" thickBot="1">
      <c r="A38" s="148" t="s">
        <v>91</v>
      </c>
      <c r="B38" s="300">
        <f aca="true" t="shared" si="0" ref="B38:AJ38">SUM(B6:B37)</f>
        <v>0</v>
      </c>
      <c r="C38" s="300">
        <f>SUM(C6:C37)</f>
        <v>0</v>
      </c>
      <c r="D38" s="300">
        <f>SUM(D6:D37)</f>
        <v>0</v>
      </c>
      <c r="E38" s="300">
        <f>SUM(E6:E37)</f>
        <v>0</v>
      </c>
      <c r="F38" s="300">
        <f t="shared" si="0"/>
        <v>0</v>
      </c>
      <c r="G38" s="300">
        <f>SUM(G6:G37)</f>
        <v>0</v>
      </c>
      <c r="H38" s="300">
        <f>SUM(H6:H37)</f>
        <v>0</v>
      </c>
      <c r="I38" s="300">
        <f t="shared" si="0"/>
        <v>0</v>
      </c>
      <c r="J38" s="300">
        <f t="shared" si="0"/>
        <v>0</v>
      </c>
      <c r="K38" s="300">
        <f t="shared" si="0"/>
        <v>0</v>
      </c>
      <c r="L38" s="300">
        <f t="shared" si="0"/>
        <v>0</v>
      </c>
      <c r="M38" s="300">
        <f>SUM(M6:M37)</f>
        <v>0</v>
      </c>
      <c r="N38" s="300">
        <f t="shared" si="0"/>
        <v>0</v>
      </c>
      <c r="O38" s="300">
        <f t="shared" si="0"/>
        <v>0</v>
      </c>
      <c r="P38" s="314"/>
      <c r="Q38" s="300">
        <f t="shared" si="0"/>
        <v>0</v>
      </c>
      <c r="R38" s="300">
        <f t="shared" si="0"/>
        <v>0</v>
      </c>
      <c r="S38" s="300">
        <f t="shared" si="0"/>
        <v>0</v>
      </c>
      <c r="T38" s="300">
        <f t="shared" si="0"/>
        <v>0</v>
      </c>
      <c r="U38" s="300">
        <f t="shared" si="0"/>
        <v>0</v>
      </c>
      <c r="V38" s="300">
        <f t="shared" si="0"/>
        <v>0</v>
      </c>
      <c r="W38" s="300">
        <f t="shared" si="0"/>
        <v>0</v>
      </c>
      <c r="X38" s="300">
        <f t="shared" si="0"/>
        <v>0</v>
      </c>
      <c r="Y38" s="300">
        <f t="shared" si="0"/>
        <v>0</v>
      </c>
      <c r="Z38" s="300">
        <f t="shared" si="0"/>
        <v>0</v>
      </c>
      <c r="AA38" s="300">
        <f t="shared" si="0"/>
        <v>0</v>
      </c>
      <c r="AB38" s="300">
        <f t="shared" si="0"/>
        <v>0</v>
      </c>
      <c r="AC38" s="300">
        <f>SUM(AC6:AC37)</f>
        <v>0</v>
      </c>
      <c r="AD38" s="300">
        <f t="shared" si="0"/>
        <v>0</v>
      </c>
      <c r="AE38" s="300">
        <f t="shared" si="0"/>
        <v>0</v>
      </c>
      <c r="AF38" s="300">
        <f t="shared" si="0"/>
        <v>0</v>
      </c>
      <c r="AG38" s="300">
        <f>SUM(AG6:AG37)</f>
        <v>0</v>
      </c>
      <c r="AH38" s="300">
        <f t="shared" si="0"/>
        <v>0</v>
      </c>
      <c r="AI38" s="300">
        <f t="shared" si="0"/>
        <v>0</v>
      </c>
      <c r="AJ38" s="300">
        <f t="shared" si="0"/>
        <v>0</v>
      </c>
      <c r="AK38" s="300">
        <f aca="true" t="shared" si="1" ref="AK38:BP38">SUM(AK6:AK37)</f>
        <v>0</v>
      </c>
      <c r="AL38" s="300">
        <f t="shared" si="1"/>
        <v>0</v>
      </c>
      <c r="AM38" s="300">
        <f t="shared" si="1"/>
        <v>0</v>
      </c>
      <c r="AN38" s="300">
        <f>SUM(AN6:AN37)</f>
        <v>0</v>
      </c>
      <c r="AO38" s="300">
        <f>SUM(AO6:AO37)</f>
        <v>0</v>
      </c>
      <c r="AP38" s="300">
        <f>SUM(AP6:AP37)</f>
        <v>0</v>
      </c>
      <c r="AQ38" s="300">
        <f t="shared" si="1"/>
        <v>0</v>
      </c>
      <c r="AR38" s="300">
        <f t="shared" si="1"/>
        <v>0</v>
      </c>
      <c r="AS38" s="300">
        <f t="shared" si="1"/>
        <v>0</v>
      </c>
      <c r="AT38" s="300">
        <f t="shared" si="1"/>
        <v>0</v>
      </c>
      <c r="AU38" s="300">
        <f t="shared" si="1"/>
        <v>0</v>
      </c>
      <c r="AV38" s="300">
        <f t="shared" si="1"/>
        <v>0</v>
      </c>
      <c r="AW38" s="300">
        <f t="shared" si="1"/>
        <v>0</v>
      </c>
      <c r="AX38" s="300">
        <f t="shared" si="1"/>
        <v>0</v>
      </c>
      <c r="AY38" s="300">
        <f t="shared" si="1"/>
        <v>0</v>
      </c>
      <c r="AZ38" s="300">
        <f t="shared" si="1"/>
        <v>0</v>
      </c>
      <c r="BA38" s="300">
        <f t="shared" si="1"/>
        <v>0</v>
      </c>
      <c r="BB38" s="300">
        <f t="shared" si="1"/>
        <v>0</v>
      </c>
      <c r="BC38" s="300">
        <f t="shared" si="1"/>
        <v>0</v>
      </c>
      <c r="BD38" s="300">
        <f t="shared" si="1"/>
        <v>0</v>
      </c>
      <c r="BE38" s="300">
        <f t="shared" si="1"/>
        <v>0</v>
      </c>
      <c r="BF38" s="300">
        <f t="shared" si="1"/>
        <v>0</v>
      </c>
      <c r="BG38" s="300">
        <f t="shared" si="1"/>
        <v>0</v>
      </c>
      <c r="BH38" s="300">
        <f t="shared" si="1"/>
        <v>0</v>
      </c>
      <c r="BI38" s="300">
        <f t="shared" si="1"/>
        <v>0</v>
      </c>
      <c r="BJ38" s="300">
        <f t="shared" si="1"/>
        <v>0</v>
      </c>
      <c r="BK38" s="300">
        <f t="shared" si="1"/>
        <v>0</v>
      </c>
      <c r="BL38" s="300">
        <f t="shared" si="1"/>
        <v>0</v>
      </c>
      <c r="BM38" s="300">
        <f t="shared" si="1"/>
        <v>0</v>
      </c>
      <c r="BN38" s="300">
        <f t="shared" si="1"/>
        <v>0</v>
      </c>
      <c r="BO38" s="300">
        <f t="shared" si="1"/>
        <v>0</v>
      </c>
      <c r="BP38" s="300">
        <f t="shared" si="1"/>
        <v>0</v>
      </c>
      <c r="BQ38" s="300">
        <f aca="true" t="shared" si="2" ref="BQ38:CM38">SUM(BQ6:BQ37)</f>
        <v>0</v>
      </c>
      <c r="BR38" s="300">
        <f t="shared" si="2"/>
        <v>0</v>
      </c>
      <c r="BS38" s="300">
        <f t="shared" si="2"/>
        <v>0</v>
      </c>
      <c r="BT38" s="300">
        <f t="shared" si="2"/>
        <v>0</v>
      </c>
      <c r="BU38" s="300">
        <f t="shared" si="2"/>
        <v>0</v>
      </c>
      <c r="BV38" s="300">
        <f>SUM(BV6:BV37)</f>
        <v>0</v>
      </c>
      <c r="BW38" s="300">
        <f t="shared" si="2"/>
        <v>0</v>
      </c>
      <c r="BX38" s="300">
        <f t="shared" si="2"/>
        <v>0</v>
      </c>
      <c r="BY38" s="300">
        <f t="shared" si="2"/>
        <v>0</v>
      </c>
      <c r="BZ38" s="300">
        <f t="shared" si="2"/>
        <v>0</v>
      </c>
      <c r="CA38" s="300">
        <f t="shared" si="2"/>
        <v>0</v>
      </c>
      <c r="CB38" s="300">
        <f t="shared" si="2"/>
        <v>0</v>
      </c>
      <c r="CC38" s="300">
        <f t="shared" si="2"/>
        <v>0</v>
      </c>
      <c r="CD38" s="300">
        <f t="shared" si="2"/>
        <v>0</v>
      </c>
      <c r="CE38" s="300">
        <f t="shared" si="2"/>
        <v>0</v>
      </c>
      <c r="CF38" s="300">
        <f t="shared" si="2"/>
        <v>0</v>
      </c>
      <c r="CG38" s="300">
        <f t="shared" si="2"/>
        <v>0</v>
      </c>
      <c r="CH38" s="300">
        <f t="shared" si="2"/>
        <v>0</v>
      </c>
      <c r="CI38" s="300">
        <f t="shared" si="2"/>
        <v>0</v>
      </c>
      <c r="CJ38" s="300">
        <f t="shared" si="2"/>
        <v>0</v>
      </c>
      <c r="CK38" s="300">
        <f t="shared" si="2"/>
        <v>0</v>
      </c>
      <c r="CL38" s="300">
        <f t="shared" si="2"/>
        <v>0</v>
      </c>
      <c r="CM38" s="300">
        <f t="shared" si="2"/>
        <v>0</v>
      </c>
    </row>
    <row r="40" spans="1:91" s="546" customFormat="1" ht="39">
      <c r="A40" s="821" t="s">
        <v>996</v>
      </c>
      <c r="B40" s="821"/>
      <c r="C40" s="821"/>
      <c r="D40" s="821"/>
      <c r="E40" s="821"/>
      <c r="F40" s="821"/>
      <c r="G40" s="821"/>
      <c r="H40" s="821"/>
      <c r="I40" s="821"/>
      <c r="J40" s="821"/>
      <c r="K40" s="821"/>
      <c r="L40" s="821"/>
      <c r="M40" s="821"/>
      <c r="N40" s="821"/>
      <c r="O40" s="821"/>
      <c r="P40" s="547"/>
      <c r="Q40" s="547"/>
      <c r="W40" s="547" t="s">
        <v>698</v>
      </c>
      <c r="AB40" s="547" t="s">
        <v>698</v>
      </c>
      <c r="AC40" s="547" t="s">
        <v>698</v>
      </c>
      <c r="AF40" s="547"/>
      <c r="AG40" s="547"/>
      <c r="AJ40" s="547" t="s">
        <v>698</v>
      </c>
      <c r="AK40" s="547"/>
      <c r="AM40" s="547" t="s">
        <v>698</v>
      </c>
      <c r="AR40" s="547" t="s">
        <v>698</v>
      </c>
      <c r="AS40" s="547" t="s">
        <v>698</v>
      </c>
      <c r="AT40" s="547"/>
      <c r="AW40" s="547" t="s">
        <v>698</v>
      </c>
      <c r="AX40" s="547" t="s">
        <v>698</v>
      </c>
      <c r="AY40" s="547" t="s">
        <v>698</v>
      </c>
      <c r="AZ40" s="547" t="s">
        <v>698</v>
      </c>
      <c r="BA40" s="547" t="s">
        <v>698</v>
      </c>
      <c r="BB40" s="547" t="s">
        <v>698</v>
      </c>
      <c r="BC40" s="547"/>
      <c r="BD40" s="547"/>
      <c r="BE40" s="547" t="s">
        <v>698</v>
      </c>
      <c r="BF40" s="547" t="s">
        <v>698</v>
      </c>
      <c r="BG40" s="547" t="s">
        <v>698</v>
      </c>
      <c r="BH40" s="547"/>
      <c r="BI40" s="547" t="s">
        <v>698</v>
      </c>
      <c r="BK40" s="547" t="s">
        <v>698</v>
      </c>
      <c r="BL40" s="547" t="s">
        <v>698</v>
      </c>
      <c r="BM40" s="547"/>
      <c r="BN40" s="547" t="s">
        <v>698</v>
      </c>
      <c r="BP40" s="547"/>
      <c r="BS40" s="547" t="s">
        <v>698</v>
      </c>
      <c r="BT40" s="547" t="s">
        <v>698</v>
      </c>
      <c r="BU40" s="547" t="s">
        <v>698</v>
      </c>
      <c r="BV40" s="547"/>
      <c r="BW40" s="547" t="s">
        <v>698</v>
      </c>
      <c r="BX40" s="547" t="s">
        <v>698</v>
      </c>
      <c r="BY40" s="547" t="s">
        <v>698</v>
      </c>
      <c r="BZ40" s="547" t="s">
        <v>698</v>
      </c>
      <c r="CA40" s="547"/>
      <c r="CB40" s="547" t="s">
        <v>698</v>
      </c>
      <c r="CC40" s="547" t="s">
        <v>698</v>
      </c>
      <c r="CD40" s="547" t="s">
        <v>698</v>
      </c>
      <c r="CE40" s="547" t="s">
        <v>698</v>
      </c>
      <c r="CF40" s="547" t="s">
        <v>698</v>
      </c>
      <c r="CG40" s="547" t="s">
        <v>698</v>
      </c>
      <c r="CH40" s="547" t="s">
        <v>698</v>
      </c>
      <c r="CI40" s="547" t="s">
        <v>698</v>
      </c>
      <c r="CJ40" s="547" t="s">
        <v>698</v>
      </c>
      <c r="CK40" s="547" t="s">
        <v>698</v>
      </c>
      <c r="CL40" s="547" t="s">
        <v>698</v>
      </c>
      <c r="CM40" s="547" t="s">
        <v>698</v>
      </c>
    </row>
    <row r="41" spans="28:78" ht="12.75">
      <c r="AB41" s="4">
        <v>2012</v>
      </c>
      <c r="AJ41" s="4">
        <v>2016</v>
      </c>
      <c r="AR41" s="4">
        <v>2017</v>
      </c>
      <c r="AS41" s="4">
        <v>2013</v>
      </c>
      <c r="AW41" s="4">
        <v>2014</v>
      </c>
      <c r="AX41" s="4">
        <v>2017</v>
      </c>
      <c r="AY41" s="4">
        <v>2017</v>
      </c>
      <c r="AZ41" s="4">
        <v>2015</v>
      </c>
      <c r="BA41" s="4">
        <v>2013</v>
      </c>
      <c r="BE41" s="4">
        <v>2016</v>
      </c>
      <c r="BF41" s="4">
        <v>2016</v>
      </c>
      <c r="BI41" s="4">
        <v>2016</v>
      </c>
      <c r="BK41" s="4">
        <v>2016</v>
      </c>
      <c r="BL41" s="4">
        <v>2015</v>
      </c>
      <c r="BN41" s="4">
        <v>2016</v>
      </c>
      <c r="BS41" s="4">
        <v>2016</v>
      </c>
      <c r="BT41" s="4">
        <v>2017</v>
      </c>
      <c r="BU41" s="4">
        <v>2014</v>
      </c>
      <c r="BW41" s="4">
        <v>2013</v>
      </c>
      <c r="BX41" s="4">
        <v>2015</v>
      </c>
      <c r="BZ41" s="4">
        <v>2017</v>
      </c>
    </row>
    <row r="42" ht="12.75">
      <c r="A42" s="4" t="s">
        <v>4153</v>
      </c>
    </row>
    <row r="82" ht="12.75">
      <c r="A82" s="47"/>
    </row>
  </sheetData>
  <sheetProtection/>
  <mergeCells count="17">
    <mergeCell ref="A40:O40"/>
    <mergeCell ref="B1:E1"/>
    <mergeCell ref="S1:Y1"/>
    <mergeCell ref="AI1:AM1"/>
    <mergeCell ref="AD1:AH1"/>
    <mergeCell ref="Z1:AC1"/>
    <mergeCell ref="N1:R1"/>
    <mergeCell ref="F1:H1"/>
    <mergeCell ref="I1:L1"/>
    <mergeCell ref="AO1:AS1"/>
    <mergeCell ref="CB1:CM1"/>
    <mergeCell ref="BN1:BS1"/>
    <mergeCell ref="BZ1:CA1"/>
    <mergeCell ref="BT1:BY1"/>
    <mergeCell ref="AT1:BA1"/>
    <mergeCell ref="BB1:BG1"/>
    <mergeCell ref="BH1:BM1"/>
  </mergeCells>
  <printOptions/>
  <pageMargins left="0.25" right="0.25" top="0.25" bottom="0.5" header="0.25" footer="0.25"/>
  <pageSetup blackAndWhite="1" horizontalDpi="600" verticalDpi="600" orientation="landscape" pageOrder="overThenDown" paperSize="17"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dimension ref="A1:AC118"/>
  <sheetViews>
    <sheetView showGridLines="0" showZeros="0" zoomScalePageLayoutView="0" workbookViewId="0" topLeftCell="A1">
      <selection activeCell="M24" sqref="M24:O24"/>
    </sheetView>
  </sheetViews>
  <sheetFormatPr defaultColWidth="7.7109375" defaultRowHeight="12.75"/>
  <cols>
    <col min="1" max="1" width="2.28125" style="7" customWidth="1"/>
    <col min="2" max="2" width="8.57421875" style="7" customWidth="1"/>
    <col min="3" max="24" width="5.7109375" style="7" customWidth="1"/>
    <col min="25" max="25" width="7.7109375" style="7" customWidth="1"/>
    <col min="26" max="26" width="7.421875" style="347" customWidth="1"/>
    <col min="27" max="27" width="5.00390625" style="347" customWidth="1"/>
    <col min="28" max="28" width="3.8515625" style="347" customWidth="1"/>
    <col min="29" max="29" width="29.140625" style="347" customWidth="1"/>
    <col min="30" max="16384" width="7.7109375" style="7" customWidth="1"/>
  </cols>
  <sheetData>
    <row r="1" spans="1:24" ht="11.25" customHeight="1">
      <c r="A1" s="860" t="s">
        <v>2039</v>
      </c>
      <c r="B1" s="860"/>
      <c r="C1" s="860"/>
      <c r="D1" s="860"/>
      <c r="E1" s="860"/>
      <c r="F1" s="860"/>
      <c r="G1" s="860"/>
      <c r="H1" s="860"/>
      <c r="W1" s="893" t="s">
        <v>1733</v>
      </c>
      <c r="X1" s="893"/>
    </row>
    <row r="2" spans="1:24" ht="11.25" customHeight="1">
      <c r="A2" s="860" t="s">
        <v>2041</v>
      </c>
      <c r="B2" s="860"/>
      <c r="C2" s="860"/>
      <c r="D2" s="860"/>
      <c r="E2" s="860"/>
      <c r="F2" s="860"/>
      <c r="G2" s="860"/>
      <c r="H2" s="860"/>
      <c r="L2" s="13"/>
      <c r="Q2" s="13"/>
      <c r="W2" s="894" t="s">
        <v>2385</v>
      </c>
      <c r="X2" s="894"/>
    </row>
    <row r="3" spans="1:24" ht="11.25" customHeight="1">
      <c r="A3" s="860" t="s">
        <v>2383</v>
      </c>
      <c r="B3" s="860"/>
      <c r="C3" s="860"/>
      <c r="D3" s="860"/>
      <c r="E3" s="860"/>
      <c r="F3" s="860"/>
      <c r="G3" s="860"/>
      <c r="H3" s="860"/>
      <c r="L3" s="13"/>
      <c r="Q3" s="13"/>
      <c r="X3" s="14"/>
    </row>
    <row r="4" spans="1:24" ht="11.25" customHeight="1">
      <c r="A4" s="860" t="s">
        <v>1670</v>
      </c>
      <c r="B4" s="860"/>
      <c r="C4" s="860"/>
      <c r="D4" s="860"/>
      <c r="E4" s="860"/>
      <c r="F4" s="860"/>
      <c r="G4" s="860"/>
      <c r="H4" s="860"/>
      <c r="I4" s="861" t="s">
        <v>375</v>
      </c>
      <c r="J4"/>
      <c r="K4"/>
      <c r="L4" s="58">
        <v>1</v>
      </c>
      <c r="M4" s="58">
        <v>2</v>
      </c>
      <c r="O4" s="895" t="s">
        <v>2315</v>
      </c>
      <c r="P4" s="895"/>
      <c r="Q4" s="895"/>
      <c r="R4" s="895"/>
      <c r="S4" s="895"/>
      <c r="T4" s="895"/>
      <c r="U4" s="895"/>
      <c r="V4" s="895"/>
      <c r="W4" s="895"/>
      <c r="X4" s="895"/>
    </row>
    <row r="5" spans="3:28" ht="11.25" customHeight="1">
      <c r="C5" s="10"/>
      <c r="D5" s="10"/>
      <c r="E5" s="10"/>
      <c r="F5" s="10"/>
      <c r="G5" s="15"/>
      <c r="I5" s="861"/>
      <c r="J5" s="16" t="s">
        <v>842</v>
      </c>
      <c r="K5" s="12"/>
      <c r="L5" s="11" t="str">
        <f>Input!F49</f>
        <v>IEB</v>
      </c>
      <c r="M5" s="11" t="str">
        <f>Input!F50</f>
        <v>IEB</v>
      </c>
      <c r="O5" s="900" t="s">
        <v>2313</v>
      </c>
      <c r="P5" s="900"/>
      <c r="Q5" s="865">
        <f>N49</f>
        <v>0</v>
      </c>
      <c r="R5" s="865"/>
      <c r="S5" s="865"/>
      <c r="T5" s="899" t="str">
        <f>IF(Q5&lt;Q6,"Contractor OVER By:","Contractor UNDER By:")</f>
        <v>Contractor UNDER By:</v>
      </c>
      <c r="U5" s="899"/>
      <c r="V5" s="899"/>
      <c r="W5" s="897" t="e">
        <f>(T6/Q5)*100</f>
        <v>#DIV/0!</v>
      </c>
      <c r="X5" s="896" t="s">
        <v>2038</v>
      </c>
      <c r="AA5" s="349"/>
      <c r="AB5" s="349"/>
    </row>
    <row r="6" spans="1:24" ht="11.25" customHeight="1">
      <c r="A6" s="49" t="s">
        <v>2042</v>
      </c>
      <c r="B6" s="53"/>
      <c r="C6" s="53"/>
      <c r="D6" s="864" t="str">
        <f>Input!F2</f>
        <v>Lincoln</v>
      </c>
      <c r="E6" s="864"/>
      <c r="F6" s="864"/>
      <c r="G6" s="864"/>
      <c r="H6" s="864"/>
      <c r="I6" s="861"/>
      <c r="J6" s="16" t="s">
        <v>841</v>
      </c>
      <c r="K6" s="12"/>
      <c r="L6" s="11" t="str">
        <f>IF(Input!G49&gt;0,CONCATENATE(TEXT(Input!G49,"0.0")," ",Input!H49),0)</f>
        <v>4.0 ft</v>
      </c>
      <c r="M6" s="11" t="str">
        <f>IF(Input!G50,CONCATENATE(TEXT(Input!G50,"0.0")," ",Input!H50),0)</f>
        <v>4.0 ft</v>
      </c>
      <c r="O6" s="900" t="s">
        <v>2314</v>
      </c>
      <c r="P6" s="900"/>
      <c r="Q6" s="865">
        <f>W49</f>
        <v>0</v>
      </c>
      <c r="R6" s="865"/>
      <c r="S6" s="865"/>
      <c r="T6" s="898">
        <f>IF(Q5&lt;Q6,Q6-Q5,Q5-Q6)</f>
        <v>0</v>
      </c>
      <c r="U6" s="898"/>
      <c r="V6" s="898"/>
      <c r="W6" s="897"/>
      <c r="X6" s="896"/>
    </row>
    <row r="7" spans="1:8" ht="11.25" customHeight="1">
      <c r="A7" s="48" t="s">
        <v>2045</v>
      </c>
      <c r="B7" s="52"/>
      <c r="C7" s="52"/>
      <c r="D7" s="862" t="str">
        <f>IF(Input!F14&gt;1,CONCATENATE(Input!F14,", ",Input!F15),Input!F15)</f>
        <v>US 150, Crab Orchard - Mt Vernon Road</v>
      </c>
      <c r="E7" s="862"/>
      <c r="F7" s="862"/>
      <c r="G7" s="862"/>
      <c r="H7" s="862"/>
    </row>
    <row r="8" spans="1:28" ht="11.25" customHeight="1">
      <c r="A8" s="48" t="s">
        <v>1671</v>
      </c>
      <c r="B8" s="52"/>
      <c r="C8" s="52"/>
      <c r="D8" s="862" t="str">
        <f>Input!$F$6</f>
        <v>8-163.00</v>
      </c>
      <c r="E8" s="862"/>
      <c r="F8" s="862"/>
      <c r="G8" s="862"/>
      <c r="H8" s="862"/>
      <c r="I8" s="863" t="s">
        <v>373</v>
      </c>
      <c r="J8" s="58">
        <v>1</v>
      </c>
      <c r="K8" s="58">
        <v>2</v>
      </c>
      <c r="L8" s="58">
        <v>3</v>
      </c>
      <c r="M8" s="58">
        <v>4</v>
      </c>
      <c r="N8" s="58">
        <v>5</v>
      </c>
      <c r="O8" s="58">
        <v>6</v>
      </c>
      <c r="P8" s="58">
        <v>7</v>
      </c>
      <c r="Q8" s="58">
        <v>8</v>
      </c>
      <c r="R8" s="58">
        <v>9</v>
      </c>
      <c r="S8" s="58">
        <v>10</v>
      </c>
      <c r="T8" s="58">
        <v>11</v>
      </c>
      <c r="U8" s="58">
        <v>12</v>
      </c>
      <c r="V8" s="58">
        <v>13</v>
      </c>
      <c r="W8" s="58">
        <v>14</v>
      </c>
      <c r="X8" s="58">
        <v>15</v>
      </c>
      <c r="AA8" s="346"/>
      <c r="AB8" s="346"/>
    </row>
    <row r="9" spans="1:28" ht="11.25" customHeight="1">
      <c r="A9" s="48" t="s">
        <v>2667</v>
      </c>
      <c r="B9" s="52"/>
      <c r="C9" s="52"/>
      <c r="D9" s="862" t="str">
        <f>Input!F3</f>
        <v>FD04 069 0150 016-020</v>
      </c>
      <c r="E9" s="862"/>
      <c r="F9" s="862"/>
      <c r="G9" s="862"/>
      <c r="H9" s="862"/>
      <c r="I9" s="863"/>
      <c r="J9" s="279" t="str">
        <f>IF(Input!F26,CONCATENATE(TEXT(Input!B54,"0.0")," ",Input!C54),0)</f>
        <v>50.0 ft</v>
      </c>
      <c r="K9" s="11" t="str">
        <f>IF(Input!F26&gt;1,CONCATENATE(TEXT(Input!B56,"0.0")," ",Input!C56),0)</f>
        <v>50.0 ft</v>
      </c>
      <c r="L9" s="11" t="str">
        <f>IF(Input!F26&gt;2,CONCATENATE(TEXT(Input!B58,"0.0")," ",Input!C58),0)</f>
        <v>50.0 ft</v>
      </c>
      <c r="M9" s="11">
        <f>IF(Input!F26&gt;3,CONCATENATE(TEXT(Input!B60,"0.0")," ",Input!C60),0)</f>
        <v>0</v>
      </c>
      <c r="N9" s="11">
        <f>IF(Input!F26&gt;4,CONCATENATE(TEXT(Input!B62,"0.0")," ",Input!C62),0)</f>
        <v>0</v>
      </c>
      <c r="O9" s="11">
        <f>IF(Input!F26&gt;5,CONCATENATE(TEXT(Input!B64,"0.0")," ",Input!C64),0)</f>
        <v>0</v>
      </c>
      <c r="P9" s="11">
        <f>IF(Input!F26&gt;6,CONCATENATE(TEXT(Input!B66,"0.0")," ",Input!C66),0)</f>
        <v>0</v>
      </c>
      <c r="Q9" s="11">
        <f>IF(Input!F26&gt;7,CONCATENATE(TEXT(Input!B68,"0.0")," ",Input!C68),0)</f>
        <v>0</v>
      </c>
      <c r="R9" s="11">
        <f>IF(Input!F26&gt;8,CONCATENATE(TEXT(Input!B70,"0.0")," ",Input!C70),0)</f>
        <v>0</v>
      </c>
      <c r="S9" s="11">
        <f>IF(Input!F26&gt;9,CONCATENATE(TEXT(Input!B72,"0.0")," ",Input!C72),0)</f>
        <v>0</v>
      </c>
      <c r="T9" s="11">
        <f>IF(Input!F26&gt;10,CONCATENATE(TEXT(Input!B74,"0.0")," ",Input!C74),0)</f>
        <v>0</v>
      </c>
      <c r="U9" s="11">
        <f>IF(Input!F26&gt;11,CONCATENATE(TEXT(Input!B76,"0.0")," ",Input!C76),0)</f>
        <v>0</v>
      </c>
      <c r="V9" s="11">
        <f>IF(Input!F26&gt;12,CONCATENATE(TEXT(Input!B78,"0.0")," ",Input!C78),0)</f>
        <v>0</v>
      </c>
      <c r="W9" s="11">
        <f>IF(Input!F26&gt;13,CONCATENATE(TEXT(Input!B80,"0.0")," ",Input!C80),0)</f>
        <v>0</v>
      </c>
      <c r="X9" s="11">
        <f>IF(Input!F26&gt;14,CONCATENATE(TEXT(Input!B82,"0.0")," ",Input!C82),0)</f>
        <v>0</v>
      </c>
      <c r="AA9" s="346"/>
      <c r="AB9" s="346"/>
    </row>
    <row r="10" spans="1:28" ht="11.25" customHeight="1">
      <c r="A10" s="48" t="s">
        <v>2668</v>
      </c>
      <c r="B10" s="52"/>
      <c r="C10" s="52"/>
      <c r="D10" s="862" t="str">
        <f>Input!F4</f>
        <v>none</v>
      </c>
      <c r="E10" s="862"/>
      <c r="F10" s="862"/>
      <c r="G10" s="862"/>
      <c r="H10" s="862"/>
      <c r="I10" s="863"/>
      <c r="J10" s="58">
        <v>16</v>
      </c>
      <c r="K10" s="58">
        <v>17</v>
      </c>
      <c r="L10" s="58">
        <v>18</v>
      </c>
      <c r="M10" s="58">
        <v>19</v>
      </c>
      <c r="N10" s="58">
        <v>20</v>
      </c>
      <c r="O10" s="58">
        <v>21</v>
      </c>
      <c r="P10" s="58">
        <v>22</v>
      </c>
      <c r="Q10" s="58">
        <v>23</v>
      </c>
      <c r="R10" s="58">
        <v>24</v>
      </c>
      <c r="S10" s="58">
        <v>25</v>
      </c>
      <c r="T10" s="58">
        <v>26</v>
      </c>
      <c r="U10" s="58">
        <v>27</v>
      </c>
      <c r="V10" s="58">
        <v>28</v>
      </c>
      <c r="W10" s="58">
        <v>29</v>
      </c>
      <c r="X10" s="58">
        <v>30</v>
      </c>
      <c r="AA10" s="349"/>
      <c r="AB10" s="349"/>
    </row>
    <row r="11" spans="1:28" ht="11.25" customHeight="1">
      <c r="A11" s="48" t="s">
        <v>1674</v>
      </c>
      <c r="B11" s="52"/>
      <c r="C11" s="52"/>
      <c r="D11" s="862" t="str">
        <f>Input!F16</f>
        <v>Flax Creek</v>
      </c>
      <c r="E11" s="862"/>
      <c r="F11" s="862"/>
      <c r="G11" s="862"/>
      <c r="H11" s="862"/>
      <c r="I11" s="863"/>
      <c r="J11" s="279">
        <f>IF(Input!$F$26&gt;15,CONCATENATE(TEXT(Input!I54,"0.0")," ",Input!J54),0)</f>
        <v>0</v>
      </c>
      <c r="K11" s="11">
        <f>IF(Input!$F$26&gt;16,CONCATENATE(TEXT(Input!I56,"0.0")," ",Input!J56),0)</f>
        <v>0</v>
      </c>
      <c r="L11" s="11">
        <f>IF(Input!$F$26&gt;17,CONCATENATE(TEXT(Input!I58,"0.0")," ",Input!J58),0)</f>
        <v>0</v>
      </c>
      <c r="M11" s="11">
        <f>IF(Input!$F$26&gt;18,CONCATENATE(TEXT(Input!I60,"0.0")," ",Input!J60),0)</f>
        <v>0</v>
      </c>
      <c r="N11" s="11">
        <f>IF(Input!$F$26&gt;19,CONCATENATE(TEXT(Input!I62,"0.0")," ",Input!J62),0)</f>
        <v>0</v>
      </c>
      <c r="O11" s="11">
        <f>IF(Input!$F$26&gt;20,CONCATENATE(TEXT(Input!I64,"0.0")," ",Input!J64),0)</f>
        <v>0</v>
      </c>
      <c r="P11" s="11">
        <f>IF(Input!$F$26&gt;21,CONCATENATE(TEXT(Input!I66,"0.0")," ",Input!J66),0)</f>
        <v>0</v>
      </c>
      <c r="Q11" s="11">
        <f>IF(Input!$F$26&gt;22,CONCATENATE(TEXT(Input!I68,"0.0")," ",Input!J68),0)</f>
        <v>0</v>
      </c>
      <c r="R11" s="11">
        <f>IF(Input!$F$26&gt;23,CONCATENATE(TEXT(Input!I70,"0.0")," ",Input!J70),0)</f>
        <v>0</v>
      </c>
      <c r="S11" s="11">
        <f>IF(Input!$F$26&gt;24,CONCATENATE(TEXT(Input!I72,"0.0")," ",Input!J72),0)</f>
        <v>0</v>
      </c>
      <c r="T11" s="11">
        <f>IF(Input!$F$26&gt;25,CONCATENATE(TEXT(Input!I74,"0.0")," ",Input!J74),0)</f>
        <v>0</v>
      </c>
      <c r="U11" s="11">
        <f>IF(Input!$F$26&gt;26,CONCATENATE(TEXT(Input!I76,"0.0")," ",Input!J76),0)</f>
        <v>0</v>
      </c>
      <c r="V11" s="11">
        <f>IF(Input!$F$26&gt;27,CONCATENATE(TEXT(Input!I78,"0.0")," ",Input!J78),0)</f>
        <v>0</v>
      </c>
      <c r="W11" s="11">
        <f>IF(Input!$F$26&gt;28,CONCATENATE(TEXT(Input!I80,"0.0")," ",Input!J80),0)</f>
        <v>0</v>
      </c>
      <c r="X11" s="11">
        <f>IF(Input!$F$26&gt;29,CONCATENATE(TEXT(Input!I82,"0.0")," ",Input!J82),0)</f>
        <v>0</v>
      </c>
      <c r="AA11" s="349"/>
      <c r="AB11" s="349"/>
    </row>
    <row r="12" spans="1:28" ht="11.25" customHeight="1">
      <c r="A12" s="48" t="s">
        <v>1676</v>
      </c>
      <c r="B12" s="52"/>
      <c r="C12" s="52"/>
      <c r="D12" s="862" t="str">
        <f>IF(Input!F12&gt;1,CONCATENATE(Input!F12," Design Section"),0)</f>
        <v>Simpson Design Section</v>
      </c>
      <c r="E12" s="862"/>
      <c r="F12" s="862"/>
      <c r="G12" s="862"/>
      <c r="H12" s="862"/>
      <c r="I12" s="3"/>
      <c r="AA12" s="349"/>
      <c r="AB12" s="349"/>
    </row>
    <row r="13" spans="1:28" ht="11.25" customHeight="1">
      <c r="A13" s="48" t="s">
        <v>2669</v>
      </c>
      <c r="B13" s="52"/>
      <c r="C13" s="52"/>
      <c r="D13" s="862">
        <f>Input!F11</f>
        <v>25546</v>
      </c>
      <c r="E13" s="862"/>
      <c r="F13" s="862"/>
      <c r="G13" s="862"/>
      <c r="H13" s="862"/>
      <c r="I13" s="863" t="s">
        <v>374</v>
      </c>
      <c r="J13" s="58">
        <v>1</v>
      </c>
      <c r="K13" s="58">
        <v>2</v>
      </c>
      <c r="L13" s="58">
        <v>3</v>
      </c>
      <c r="M13" s="58">
        <v>4</v>
      </c>
      <c r="N13" s="58">
        <v>5</v>
      </c>
      <c r="O13" s="58">
        <v>6</v>
      </c>
      <c r="P13" s="58">
        <v>7</v>
      </c>
      <c r="Q13" s="58">
        <v>8</v>
      </c>
      <c r="R13" s="58">
        <v>9</v>
      </c>
      <c r="S13" s="58">
        <v>10</v>
      </c>
      <c r="T13" s="58">
        <v>11</v>
      </c>
      <c r="U13" s="58">
        <v>12</v>
      </c>
      <c r="V13" s="58">
        <v>13</v>
      </c>
      <c r="W13" s="58">
        <v>14</v>
      </c>
      <c r="X13" s="58">
        <v>15</v>
      </c>
      <c r="AA13" s="346"/>
      <c r="AB13" s="346"/>
    </row>
    <row r="14" spans="1:28" ht="11.25" customHeight="1">
      <c r="A14" s="867" t="s">
        <v>2049</v>
      </c>
      <c r="B14" s="867"/>
      <c r="C14" s="867"/>
      <c r="D14" s="862" t="str">
        <f>Input!F24</f>
        <v>167+50.000</v>
      </c>
      <c r="E14" s="862"/>
      <c r="F14" s="862"/>
      <c r="G14" s="862"/>
      <c r="H14" s="862"/>
      <c r="I14" s="863"/>
      <c r="J14" s="279" t="str">
        <f>IF(Input!$F$26&gt;1,Input!D55,0)</f>
        <v>C1</v>
      </c>
      <c r="K14" s="11" t="str">
        <f>IF(Input!$F$26&gt;2,Input!D57,0)</f>
        <v>C1</v>
      </c>
      <c r="L14" s="11">
        <f>IF(Input!$F$26&gt;3,Input!D59,0)</f>
        <v>0</v>
      </c>
      <c r="M14" s="11">
        <f>IF(Input!$F$26&gt;4,Input!D61,0)</f>
        <v>0</v>
      </c>
      <c r="N14" s="11">
        <f>IF(Input!$F$26&gt;5,Input!D63,0)</f>
        <v>0</v>
      </c>
      <c r="O14" s="11">
        <f>IF(Input!$F$26&gt;6,Input!D65,0)</f>
        <v>0</v>
      </c>
      <c r="P14" s="11">
        <f>IF(Input!$F$26&gt;7,Input!D67,0)</f>
        <v>0</v>
      </c>
      <c r="Q14" s="11">
        <f>IF(Input!$F$26&gt;8,Input!D69,0)</f>
        <v>0</v>
      </c>
      <c r="R14" s="11">
        <f>IF(Input!$F$26&gt;9,Input!D71,0)</f>
        <v>0</v>
      </c>
      <c r="S14" s="11">
        <f>IF(Input!$F$26&gt;10,Input!D73,0)</f>
        <v>0</v>
      </c>
      <c r="T14" s="11">
        <f>IF(Input!$F$26&gt;11,Input!D75,0)</f>
        <v>0</v>
      </c>
      <c r="U14" s="11">
        <f>IF(Input!$F$26&gt;12,Input!D77,0)</f>
        <v>0</v>
      </c>
      <c r="V14" s="11">
        <f>IF(Input!$F$26&gt;13,Input!D79,0)</f>
        <v>0</v>
      </c>
      <c r="W14" s="11">
        <f>IF(Input!$F$26&gt;14,Input!D81,0)</f>
        <v>0</v>
      </c>
      <c r="X14" s="11">
        <f>IF(Input!$F$26&gt;15,Input!D83,0)</f>
        <v>0</v>
      </c>
      <c r="AA14" s="346"/>
      <c r="AB14" s="346"/>
    </row>
    <row r="15" spans="1:28" ht="11.25" customHeight="1">
      <c r="A15" s="867" t="s">
        <v>2671</v>
      </c>
      <c r="B15" s="867"/>
      <c r="C15" s="867"/>
      <c r="D15" s="882" t="str">
        <f>IF(Input!F25&gt;=0,CONCATENATE(TEXT(Input!F25,"0.0")," ",Input!I25," ",Input!J25),"0 deg")</f>
        <v>30.0 deg Rt</v>
      </c>
      <c r="E15" s="882"/>
      <c r="F15" s="882"/>
      <c r="G15" s="882"/>
      <c r="H15" s="882"/>
      <c r="I15" s="863"/>
      <c r="J15" s="279" t="str">
        <f>IF(Input!E55,CONCATENATE(TEXT(Input!E55,"0.0")," ",Input!F55),0)</f>
        <v>25.5 ft</v>
      </c>
      <c r="K15" s="11" t="str">
        <f>IF(Input!E57,CONCATENATE(TEXT(Input!E57,"0.0")," ",Input!F57),0)</f>
        <v>22.4 ft</v>
      </c>
      <c r="L15" s="11">
        <f>IF(Input!E59,CONCATENATE(TEXT(Input!E59,"0.0")," ",Input!F59),0)</f>
        <v>0</v>
      </c>
      <c r="M15" s="11">
        <f>IF(Input!E61,CONCATENATE(TEXT(Input!E61,"0.0")," ",Input!F61),0)</f>
        <v>0</v>
      </c>
      <c r="N15" s="11">
        <f>IF(Input!E63,CONCATENATE(TEXT(Input!E63,"0.0")," ",Input!F63),0)</f>
        <v>0</v>
      </c>
      <c r="O15" s="11">
        <f>IF(Input!E65,CONCATENATE(TEXT(Input!E65,"0.0")," ",Input!F65),0)</f>
        <v>0</v>
      </c>
      <c r="P15" s="11">
        <f>IF(Input!E67,CONCATENATE(TEXT(Input!E67,"0.0")," ",Input!F67),0)</f>
        <v>0</v>
      </c>
      <c r="Q15" s="11">
        <f>IF(Input!E69,CONCATENATE(TEXT(Input!E69,"0.0")," ",Input!F69),0)</f>
        <v>0</v>
      </c>
      <c r="R15" s="11">
        <f>IF(Input!E71,CONCATENATE(TEXT(Input!E71,"0.0")," ",Input!F71),0)</f>
        <v>0</v>
      </c>
      <c r="S15" s="11">
        <f>IF(Input!E73,CONCATENATE(TEXT(Input!E73,"0.0")," ",Input!F73),0)</f>
        <v>0</v>
      </c>
      <c r="T15" s="11">
        <f>IF(Input!E75,CONCATENATE(TEXT(Input!E75,"0.0")," ",Input!F75),0)</f>
        <v>0</v>
      </c>
      <c r="U15" s="11">
        <f>IF(Input!E77,CONCATENATE(TEXT(Input!E77,"0.0")," ",Input!F77),0)</f>
        <v>0</v>
      </c>
      <c r="V15" s="11">
        <f>IF(Input!E79,CONCATENATE(TEXT(Input!E79,"0.0")," ",Input!F79),0)</f>
        <v>0</v>
      </c>
      <c r="W15" s="11">
        <f>IF(Input!E81,CONCATENATE(TEXT(Input!E81,"0.0")," ",Input!G81),0)</f>
        <v>0</v>
      </c>
      <c r="X15" s="11">
        <f>IF(Input!E83,CONCATENATE(TEXT(Input!E83,"0.0")," ",Input!F83),0)</f>
        <v>0</v>
      </c>
      <c r="AA15" s="346"/>
      <c r="AB15" s="346"/>
    </row>
    <row r="16" spans="1:29" ht="11.25" customHeight="1">
      <c r="A16" s="867" t="s">
        <v>1672</v>
      </c>
      <c r="B16" s="867"/>
      <c r="C16" s="867"/>
      <c r="D16" s="868" t="str">
        <f>Input!F21</f>
        <v>HS-25</v>
      </c>
      <c r="E16" s="868"/>
      <c r="F16" s="868"/>
      <c r="G16" s="868"/>
      <c r="H16" s="868"/>
      <c r="I16" s="863"/>
      <c r="J16" s="58">
        <v>16</v>
      </c>
      <c r="K16" s="58">
        <v>17</v>
      </c>
      <c r="L16" s="58">
        <v>18</v>
      </c>
      <c r="M16" s="58">
        <v>19</v>
      </c>
      <c r="N16" s="58">
        <v>20</v>
      </c>
      <c r="O16" s="58">
        <v>21</v>
      </c>
      <c r="P16" s="58">
        <v>22</v>
      </c>
      <c r="Q16" s="58">
        <v>23</v>
      </c>
      <c r="R16" s="58">
        <v>24</v>
      </c>
      <c r="S16" s="58">
        <v>25</v>
      </c>
      <c r="T16" s="58">
        <v>26</v>
      </c>
      <c r="U16" s="58">
        <v>27</v>
      </c>
      <c r="V16" s="58">
        <v>28</v>
      </c>
      <c r="W16" s="58">
        <v>29</v>
      </c>
      <c r="X16" s="3"/>
      <c r="Z16" s="347" t="s">
        <v>2622</v>
      </c>
      <c r="AA16" s="357"/>
      <c r="AB16" s="357"/>
      <c r="AC16" s="356"/>
    </row>
    <row r="17" spans="1:29" ht="11.25" customHeight="1">
      <c r="A17" s="867" t="s">
        <v>1766</v>
      </c>
      <c r="B17" s="867"/>
      <c r="C17" s="867"/>
      <c r="D17" s="868" t="str">
        <f>Input!F23</f>
        <v>Curved</v>
      </c>
      <c r="E17" s="868"/>
      <c r="F17" s="868"/>
      <c r="G17" s="868"/>
      <c r="H17" s="868"/>
      <c r="I17" s="863"/>
      <c r="J17" s="279">
        <f>IF(Input!$F$26&gt;16,Input!K55,0)</f>
        <v>0</v>
      </c>
      <c r="K17" s="11">
        <f>IF(Input!$F$26&gt;17,Input!K57,0)</f>
        <v>0</v>
      </c>
      <c r="L17" s="11">
        <f>IF(Input!$F$26&gt;18,Input!K59,0)</f>
        <v>0</v>
      </c>
      <c r="M17" s="11">
        <f>IF(Input!$F$26&gt;19,Input!K61,0)</f>
        <v>0</v>
      </c>
      <c r="N17" s="11">
        <f>IF(Input!$F$26&gt;20,Input!K63,0)</f>
        <v>0</v>
      </c>
      <c r="O17" s="11">
        <f>IF(Input!$F$26&gt;21,Input!K65,0)</f>
        <v>0</v>
      </c>
      <c r="P17" s="11">
        <f>IF(Input!$F$26&gt;22,Input!K67,0)</f>
        <v>0</v>
      </c>
      <c r="Q17" s="11">
        <f>IF(Input!$F$26&gt;23,Input!K69,0)</f>
        <v>0</v>
      </c>
      <c r="R17" s="11">
        <f>IF(Input!$F$26&gt;24,Input!K71,0)</f>
        <v>0</v>
      </c>
      <c r="S17" s="11">
        <f>IF(Input!$F$26&gt;25,Input!K73,0)</f>
        <v>0</v>
      </c>
      <c r="T17" s="11">
        <f>IF(Input!$F$26&gt;26,Input!K75,0)</f>
        <v>0</v>
      </c>
      <c r="U17" s="11">
        <f>IF(Input!$F$26&gt;27,Input!K77,0)</f>
        <v>0</v>
      </c>
      <c r="V17" s="11">
        <f>IF(Input!$F$26&gt;28,Input!K79,0)</f>
        <v>0</v>
      </c>
      <c r="W17" s="11">
        <f>IF(Input!$F$26&gt;29,Input!K81,0)</f>
        <v>0</v>
      </c>
      <c r="X17" s="60"/>
      <c r="Z17" s="350" t="s">
        <v>2620</v>
      </c>
      <c r="AA17" s="350" t="s">
        <v>843</v>
      </c>
      <c r="AB17" s="351" t="s">
        <v>2621</v>
      </c>
      <c r="AC17" s="347" t="s">
        <v>844</v>
      </c>
    </row>
    <row r="18" spans="1:29" ht="11.25" customHeight="1">
      <c r="A18" s="867" t="s">
        <v>1673</v>
      </c>
      <c r="B18" s="867"/>
      <c r="C18" s="867"/>
      <c r="D18" s="868" t="str">
        <f>IF(Input!F31&gt;0,CONCATENATE(TEXT(Input!F31,"0.000")," ",Input!I31),0)</f>
        <v>50.000 ft.</v>
      </c>
      <c r="E18" s="868"/>
      <c r="F18" s="868"/>
      <c r="G18" s="868"/>
      <c r="H18" s="868"/>
      <c r="I18" s="863"/>
      <c r="J18" s="279">
        <f>IF(Input!L55,CONCATENATE(TEXT(Input!L55,"0.0")," ",Input!M55),0)</f>
        <v>0</v>
      </c>
      <c r="K18" s="11">
        <f>IF(Input!L57,CONCATENATE(TEXT(Input!L57,"0.0")," ",Input!M57),0)</f>
        <v>0</v>
      </c>
      <c r="L18" s="11">
        <f>IF(Input!L59,CONCATENATE(TEXT(Input!L59,"0.0")," ",Input!M59),0)</f>
        <v>0</v>
      </c>
      <c r="M18" s="11">
        <f>IF(Input!L61,CONCATENATE(TEXT(Input!L61,"0.0")," ",Input!M61),0)</f>
        <v>0</v>
      </c>
      <c r="N18" s="11">
        <f>IF(Input!L63,CONCATENATE(TEXT(Input!L63,"0.0")," ",Input!M63),0)</f>
        <v>0</v>
      </c>
      <c r="O18" s="11">
        <f>IF(Input!L65,CONCATENATE(TEXT(Input!L65,"0.0")," ",Input!M65),0)</f>
        <v>0</v>
      </c>
      <c r="P18" s="11">
        <f>IF(Input!L67,CONCATENATE(TEXT(Input!L67,"0.0")," ",Input!M67),0)</f>
        <v>0</v>
      </c>
      <c r="Q18" s="11">
        <f>IF(Input!L69,CONCATENATE(TEXT(Input!L69,"0.0")," ",Input!M69),0)</f>
        <v>0</v>
      </c>
      <c r="R18" s="11">
        <f>IF(Input!L71,CONCATENATE(TEXT(Input!L71,"0.0")," ",Input!M71),0)</f>
        <v>0</v>
      </c>
      <c r="S18" s="11">
        <f>IF(Input!L73,CONCATENATE(TEXT(Input!L73,"0.0")," ",Input!M73),0)</f>
        <v>0</v>
      </c>
      <c r="T18" s="11">
        <f>IF(Input!L75,CONCATENATE(TEXT(Input!L75,"0.0")," ",Input!M75),0)</f>
        <v>0</v>
      </c>
      <c r="U18" s="11">
        <f>IF(Input!L77,CONCATENATE(TEXT(Input!L77,"0.0")," ",Input!M77),0)</f>
        <v>0</v>
      </c>
      <c r="V18" s="11">
        <f>IF(Input!L79,CONCATENATE(TEXT(Input!L79,"0.0")," ",Input!M79),0)</f>
        <v>0</v>
      </c>
      <c r="W18" s="11">
        <f>IF(Input!L81,CONCATENATE(TEXT(Input!L81,"0.0")," ",Input!M81),0)</f>
        <v>0</v>
      </c>
      <c r="X18" s="60"/>
      <c r="Z18" s="351">
        <f>IF('Bridge Quantities'!AT38&gt;0,'Bridge Quantities'!AT6,IF('Bridge Quantities'!AU38&gt;0,'Bridge Quantities'!AU6,IF('Bridge Quantities'!AV38&gt;0,'Bridge Quantities'!AV6,IF('Bridge Quantities'!AW38&gt;0,'Bridge Quantities'!AW6,IF('Bridge Quantities'!AX38&gt;0,'Bridge Quantities'!AX6,IF('Bridge Quantities'!AY38&gt;0,'Bridge Quantities'!AY6,IF('Bridge Quantities'!AZ38&gt;0,'Bridge Quantities'!AZ6,IF('Bridge Quantities'!BA38&gt;0,'Bridge Quantities'!BA6,0))))))))</f>
        <v>0</v>
      </c>
      <c r="AA18" s="351">
        <f>IF('Bridge Quantities'!AT38&gt;0,'Bridge Quantities'!AT4,IF('Bridge Quantities'!AU38&gt;0,'Bridge Quantities'!AU4,IF('Bridge Quantities'!AV38&gt;0,'Bridge Quantities'!AV4,IF('Bridge Quantities'!AW38&gt;0,'Bridge Quantities'!AW4,IF('Bridge Quantities'!AX38&gt;0,'Bridge Quantities'!AX4,IF('Bridge Quantities'!AY38&gt;0,'Bridge Quantities'!AY4,IF('Bridge Quantities'!AZ38&gt;0,'Bridge Quantities'!AZ4,IF('Bridge Quantities'!BA38&gt;0,'Bridge Quantities'!BA4,0))))))))</f>
        <v>0</v>
      </c>
      <c r="AB18" s="352">
        <f>IF('Bridge Quantities'!AT38&gt;0,'Bridge Quantities'!AT5,IF('Bridge Quantities'!AU38&gt;0,'Bridge Quantities'!AU5,IF('Bridge Quantities'!AV38&gt;0,'Bridge Quantities'!AV5,IF('Bridge Quantities'!AW38&gt;0,'Bridge Quantities'!AW5,IF('Bridge Quantities'!AX38&gt;0,'Bridge Quantities'!AX5,IF('Bridge Quantities'!AY38&gt;0,'Bridge Quantities'!AY5,IF('Bridge Quantities'!AZ38&gt;0,'Bridge Quantities'!AZ5,IF('Bridge Quantities'!BA38&gt;0,'Bridge Quantities'!BA5,0))))))))</f>
        <v>0</v>
      </c>
      <c r="AC18" s="353">
        <f>IF('Bridge Quantities'!AT38&gt;0,'Bridge Quantities'!AT3,IF('Bridge Quantities'!AU38&gt;0,'Bridge Quantities'!AU3,IF('Bridge Quantities'!AV38&gt;0,'Bridge Quantities'!AV3,IF('Bridge Quantities'!AW38&gt;0,'Bridge Quantities'!AW3,IF('Bridge Quantities'!AX38&gt;0,'Bridge Quantities'!AX3,IF('Bridge Quantities'!AY38&gt;0,'Bridge Quantities'!AY3,IF('Bridge Quantities'!AZ38&gt;0,'Bridge Quantities'!AZ3,IF('Bridge Quantities'!BA38&gt;0,'Bridge Quantities'!BA3,0))))))))</f>
        <v>0</v>
      </c>
    </row>
    <row r="19" spans="1:29" ht="11.25" customHeight="1">
      <c r="A19" s="867" t="s">
        <v>1675</v>
      </c>
      <c r="B19" s="867"/>
      <c r="C19" s="867"/>
      <c r="D19" s="868" t="str">
        <f>IF(Input!F29&gt;0,CONCATENATE(TEXT(Input!F29,"0.000")," ",Input!I29),0)</f>
        <v>53.000 ft.</v>
      </c>
      <c r="E19" s="868"/>
      <c r="F19" s="868"/>
      <c r="G19" s="868"/>
      <c r="H19" s="868"/>
      <c r="Z19" s="354">
        <f>IF('Bridge Quantities'!BB38&gt;0,'Bridge Quantities'!BB6,IF('Bridge Quantities'!BC38&gt;0,'Bridge Quantities'!BC6,IF('Bridge Quantities'!BD38&gt;0,'Bridge Quantities'!BD6,IF('Bridge Quantities'!BE38&gt;0,'Bridge Quantities'!BE6,IF('Bridge Quantities'!BF38&gt;0,'Bridge Quantities'!BF6,IF('Bridge Quantities'!BG38&gt;0,'Bridge Quantities'!BG6,0))))))</f>
        <v>0</v>
      </c>
      <c r="AA19" s="351">
        <f>IF('Bridge Quantities'!BB38&gt;0,'Bridge Quantities'!BB4,IF('Bridge Quantities'!BC38&gt;0,'Bridge Quantities'!BC4,IF('Bridge Quantities'!BD38&gt;0,'Bridge Quantities'!BD4,IF('Bridge Quantities'!BE38&gt;0,'Bridge Quantities'!BE4,IF('Bridge Quantities'!BF38&gt;0,'Bridge Quantities'!BF4,IF('Bridge Quantities'!BG38&gt;0,'Bridge Quantities'!BG4,0))))))</f>
        <v>0</v>
      </c>
      <c r="AB19" s="352">
        <f>IF('Bridge Quantities'!BB38&gt;0,'Bridge Quantities'!BB5,IF('Bridge Quantities'!BC38&gt;0,'Bridge Quantities'!BC5,IF('Bridge Quantities'!BD38&gt;0,'Bridge Quantities'!BD5,IF('Bridge Quantities'!BE38&gt;0,'Bridge Quantities'!BE5,IF('Bridge Quantities'!BF38&gt;0,'Bridge Quantities'!BF5,IF('Bridge Quantities'!BG38&gt;0,'Bridge Quantities'!BG5,0))))))</f>
        <v>0</v>
      </c>
      <c r="AC19" s="347">
        <f>IF('Bridge Quantities'!BB38&gt;0,'Bridge Quantities'!BB3,IF('Bridge Quantities'!BC38&gt;0,'Bridge Quantities'!BC3,IF('Bridge Quantities'!BD38&gt;0,'Bridge Quantities'!BD3,IF('Bridge Quantities'!BE38&gt;0,'Bridge Quantities'!BE3,IF('Bridge Quantities'!BF38&gt;0,'Bridge Quantities'!BF3,IF('Bridge Quantities'!BG38&gt;0,'Bridge Quantities'!BG3,0))))))</f>
        <v>0</v>
      </c>
    </row>
    <row r="20" spans="1:29" ht="11.25" customHeight="1">
      <c r="A20" s="867" t="s">
        <v>1677</v>
      </c>
      <c r="B20" s="867"/>
      <c r="C20" s="867"/>
      <c r="D20" s="868" t="str">
        <f>IF(Input!F28&gt;0,CONCATENATE(TEXT(Input!F28,"0.000")," ",Input!I28),0)</f>
        <v>153.464 ft.</v>
      </c>
      <c r="E20" s="868"/>
      <c r="F20" s="868"/>
      <c r="G20" s="868"/>
      <c r="H20" s="868"/>
      <c r="J20" s="866" t="s">
        <v>1680</v>
      </c>
      <c r="K20" s="866"/>
      <c r="L20" s="866"/>
      <c r="M20" s="937" t="str">
        <f>Input!F19</f>
        <v>Continuous for Live Load</v>
      </c>
      <c r="N20" s="937"/>
      <c r="O20" s="937"/>
      <c r="P20" s="937"/>
      <c r="Q20" s="937"/>
      <c r="R20" s="937"/>
      <c r="S20" s="937"/>
      <c r="T20" s="937"/>
      <c r="U20" s="937"/>
      <c r="V20" s="937"/>
      <c r="W20" s="937"/>
      <c r="X20" s="937"/>
      <c r="Z20" s="354">
        <f>IF('Bridge Quantities'!BH38&gt;0,'Bridge Quantities'!BH6,IF('Bridge Quantities'!BI38&gt;0,'Bridge Quantities'!BI6,IF('Bridge Quantities'!BJ38&gt;0,'Bridge Quantities'!BJ6,IF('Bridge Quantities'!BK38&gt;0,'Bridge Quantities'!BK6,IF('Bridge Quantities'!BL38&gt;0,'Bridge Quantities'!BL6,IF('Bridge Quantities'!BM38&gt;0,'Bridge Quantities'!BM6,0))))))</f>
        <v>0</v>
      </c>
      <c r="AA20" s="351">
        <f>IF('Bridge Quantities'!BH38&gt;0,'Bridge Quantities'!BH4,IF('Bridge Quantities'!BI38&gt;0,'Bridge Quantities'!BI4,IF('Bridge Quantities'!BJ38&gt;0,'Bridge Quantities'!BJ4,IF('Bridge Quantities'!BK38&gt;0,'Bridge Quantities'!BK4,IF('Bridge Quantities'!BL38&gt;0,'Bridge Quantities'!BL4,IF('Bridge Quantities'!BM38&gt;0,'Bridge Quantities'!BM4,0))))))</f>
        <v>0</v>
      </c>
      <c r="AB20" s="352">
        <f>IF('Bridge Quantities'!BH38&gt;0,'Bridge Quantities'!BH5,IF('Bridge Quantities'!BI38&gt;0,'Bridge Quantities'!BI5,IF('Bridge Quantities'!BJ38&gt;0,'Bridge Quantities'!BJ5,IF('Bridge Quantities'!BK38&gt;0,'Bridge Quantities'!BK5,IF('Bridge Quantities'!BL38&gt;0,'Bridge Quantities'!BL5,IF('Bridge Quantities'!BM38&gt;0,'Bridge Quantities'!BM5,0))))))</f>
        <v>0</v>
      </c>
      <c r="AC20" s="347">
        <f>IF('Bridge Quantities'!BH38&gt;0,'Bridge Quantities'!BH3,IF('Bridge Quantities'!BI38&gt;0,'Bridge Quantities'!BI3,IF('Bridge Quantities'!BJ38&gt;0,'Bridge Quantities'!BJ3,IF('Bridge Quantities'!BK38&gt;0,'Bridge Quantities'!BK3,IF('Bridge Quantities'!BL38&gt;0,'Bridge Quantities'!BL3,IF('Bridge Quantities'!BM38&gt;0,'Bridge Quantities'!BM3,0))))))</f>
        <v>0</v>
      </c>
    </row>
    <row r="21" spans="1:29" ht="11.25" customHeight="1">
      <c r="A21" s="867" t="s">
        <v>1678</v>
      </c>
      <c r="B21" s="867"/>
      <c r="C21" s="867"/>
      <c r="D21" s="943" t="str">
        <f>IF(Input!F28&gt;0,CONCATENATE(TEXT(Input!F28*Input!F29,"0.00")," ",Input!I28,"^2"),0)</f>
        <v>8133.59 ft.^2</v>
      </c>
      <c r="E21" s="943"/>
      <c r="F21" s="943"/>
      <c r="G21" s="943"/>
      <c r="H21" s="943"/>
      <c r="J21" s="867" t="s">
        <v>840</v>
      </c>
      <c r="K21" s="867"/>
      <c r="L21" s="867"/>
      <c r="M21" s="882" t="str">
        <f>Input!F20</f>
        <v>PCIB Type 3</v>
      </c>
      <c r="N21" s="882"/>
      <c r="O21" s="882"/>
      <c r="P21" s="882"/>
      <c r="Q21" s="882"/>
      <c r="R21" s="882"/>
      <c r="S21" s="882"/>
      <c r="T21" s="882"/>
      <c r="U21" s="882"/>
      <c r="V21" s="882"/>
      <c r="W21" s="882"/>
      <c r="X21" s="882"/>
      <c r="Z21" s="354">
        <f>IF('Bridge Quantities'!BN38&gt;0,'Bridge Quantities'!BN6,IF('Bridge Quantities'!BO38&gt;0,'Bridge Quantities'!BO6,IF('Bridge Quantities'!BP38&gt;0,'Bridge Quantities'!BP6,IF('Bridge Quantities'!BQ38&gt;0,'Bridge Quantities'!BQ6,IF('Bridge Quantities'!BR38&gt;0,'Bridge Quantities'!BR6,IF('Bridge Quantities'!BS38&gt;0,'Bridge Quantities'!BS6,0))))))</f>
        <v>0</v>
      </c>
      <c r="AA21" s="351">
        <f>IF('Bridge Quantities'!BN38&gt;0,'Bridge Quantities'!BN4,IF('Bridge Quantities'!BO38&gt;0,'Bridge Quantities'!BO4,IF('Bridge Quantities'!BP38&gt;0,'Bridge Quantities'!BP4,IF('Bridge Quantities'!BQ38&gt;0,'Bridge Quantities'!BQ4,IF('Bridge Quantities'!BR38&gt;0,'Bridge Quantities'!BR4,IF('Bridge Quantities'!BS38&gt;0,'Bridge Quantities'!BS4,0))))))</f>
        <v>0</v>
      </c>
      <c r="AB21" s="352">
        <f>IF('Bridge Quantities'!BN38&gt;0,'Bridge Quantities'!BN5,IF('Bridge Quantities'!BO38&gt;0,'Bridge Quantities'!BO5,IF('Bridge Quantities'!BP38&gt;0,'Bridge Quantities'!BP5,IF('Bridge Quantities'!BQ38&gt;0,'Bridge Quantities'!BQ5,IF('Bridge Quantities'!BR38&gt;0,'Bridge Quantities'!BR5,IF('Bridge Quantities'!BS38&gt;0,'Bridge Quantities'!BS5,0))))))</f>
        <v>0</v>
      </c>
      <c r="AC21" s="347">
        <f>IF('Bridge Quantities'!BN38&gt;0,'Bridge Quantities'!BN3,IF('Bridge Quantities'!BO38&gt;0,'Bridge Quantities'!BO3,IF('Bridge Quantities'!BP38&gt;0,'Bridge Quantities'!BP3,IF('Bridge Quantities'!BQ38&gt;0,'Bridge Quantities'!BQ3,IF('Bridge Quantities'!BR38&gt;0,'Bridge Quantities'!BR3,IF('Bridge Quantities'!BS38&gt;0,'Bridge Quantities'!BS3,0))))))</f>
        <v>0</v>
      </c>
    </row>
    <row r="22" spans="1:24" ht="11.25" customHeight="1">
      <c r="A22" s="944" t="s">
        <v>1679</v>
      </c>
      <c r="B22" s="944"/>
      <c r="C22" s="944"/>
      <c r="D22" s="936" t="str">
        <f>Input!F20</f>
        <v>PCIB Type 3</v>
      </c>
      <c r="E22" s="936"/>
      <c r="F22" s="936"/>
      <c r="G22" s="936"/>
      <c r="H22" s="936"/>
      <c r="J22" s="867" t="s">
        <v>376</v>
      </c>
      <c r="K22" s="867"/>
      <c r="L22" s="867"/>
      <c r="M22" s="938" t="str">
        <f>Input!F35</f>
        <v>straight bridge parallel to chord of spiral</v>
      </c>
      <c r="N22" s="938"/>
      <c r="O22" s="938"/>
      <c r="P22" s="938"/>
      <c r="Q22" s="938"/>
      <c r="R22" s="938"/>
      <c r="S22" s="938"/>
      <c r="T22" s="938"/>
      <c r="U22" s="938"/>
      <c r="V22" s="938"/>
      <c r="W22" s="938"/>
      <c r="X22" s="938"/>
    </row>
    <row r="23" ht="11.25" customHeight="1"/>
    <row r="24" spans="1:24" ht="11.25" customHeight="1">
      <c r="A24" s="3"/>
      <c r="B24" s="3"/>
      <c r="C24" s="3"/>
      <c r="D24" s="3"/>
      <c r="E24" s="3"/>
      <c r="G24" s="934" t="s">
        <v>1732</v>
      </c>
      <c r="H24" s="935"/>
      <c r="I24" s="935"/>
      <c r="J24" s="935"/>
      <c r="K24" s="935"/>
      <c r="L24" s="935"/>
      <c r="M24" s="941">
        <f ca="1">TODAY()</f>
        <v>44992</v>
      </c>
      <c r="N24" s="941"/>
      <c r="O24" s="942"/>
      <c r="P24" s="537" t="s">
        <v>1762</v>
      </c>
      <c r="Q24" s="930" t="s">
        <v>1761</v>
      </c>
      <c r="R24" s="930"/>
      <c r="S24" s="939">
        <f>Input!F8</f>
        <v>39887</v>
      </c>
      <c r="T24" s="939"/>
      <c r="U24" s="929" t="s">
        <v>1760</v>
      </c>
      <c r="V24" s="929"/>
      <c r="W24" s="939">
        <f>Input!F9</f>
        <v>39948</v>
      </c>
      <c r="X24" s="940"/>
    </row>
    <row r="25" spans="1:29" s="275" customFormat="1" ht="11.25" customHeight="1" thickBot="1">
      <c r="A25" s="949" t="s">
        <v>1725</v>
      </c>
      <c r="B25" s="950"/>
      <c r="C25" s="950"/>
      <c r="D25" s="950"/>
      <c r="E25" s="951"/>
      <c r="F25" s="277" t="s">
        <v>1729</v>
      </c>
      <c r="G25" s="278" t="s">
        <v>1726</v>
      </c>
      <c r="H25" s="925" t="s">
        <v>1001</v>
      </c>
      <c r="I25" s="925"/>
      <c r="J25" s="925"/>
      <c r="K25" s="925" t="s">
        <v>1000</v>
      </c>
      <c r="L25" s="925"/>
      <c r="M25" s="925"/>
      <c r="N25" s="925" t="s">
        <v>1730</v>
      </c>
      <c r="O25" s="931"/>
      <c r="P25" s="538" t="s">
        <v>1726</v>
      </c>
      <c r="Q25" s="928" t="s">
        <v>1001</v>
      </c>
      <c r="R25" s="928"/>
      <c r="S25" s="928"/>
      <c r="T25" s="928" t="s">
        <v>1000</v>
      </c>
      <c r="U25" s="928"/>
      <c r="V25" s="928"/>
      <c r="W25" s="928" t="s">
        <v>1730</v>
      </c>
      <c r="X25" s="928"/>
      <c r="Z25" s="350"/>
      <c r="AA25" s="350"/>
      <c r="AB25" s="350"/>
      <c r="AC25" s="350"/>
    </row>
    <row r="26" spans="1:29" s="3" customFormat="1" ht="11.25" customHeight="1">
      <c r="A26" s="946">
        <f>IF('Bridge Quantities'!Z38&gt;0,'Bridge Quantities'!Z3,0)</f>
        <v>0</v>
      </c>
      <c r="B26" s="947"/>
      <c r="C26" s="947"/>
      <c r="D26" s="947"/>
      <c r="E26" s="948"/>
      <c r="F26" s="276">
        <f>IF('Bridge Quantities'!Z38&gt;0,'Bridge Quantities'!Z4,0)</f>
        <v>0</v>
      </c>
      <c r="G26" s="328">
        <f>IF('Bridge Quantities'!Z38&gt;0,'Bridge Quantities'!Z5,0)</f>
        <v>0</v>
      </c>
      <c r="H26" s="329">
        <f>IF('Bridge Quantities'!Z38&gt;0,'Bridge Quantities'!Z6,0)</f>
        <v>0</v>
      </c>
      <c r="I26" s="926">
        <f>G26*H26</f>
        <v>0</v>
      </c>
      <c r="J26" s="927"/>
      <c r="K26" s="280">
        <f>IF('Bridge Quantities'!Z38&gt;0,'Bridge Quantities'!Z38-'Bridge Quantities'!Z6,0)</f>
        <v>0</v>
      </c>
      <c r="L26" s="932">
        <f aca="true" t="shared" si="0" ref="L26:L39">G26*K26</f>
        <v>0</v>
      </c>
      <c r="M26" s="902"/>
      <c r="N26" s="901">
        <f aca="true" t="shared" si="1" ref="N26:N48">I26+L26</f>
        <v>0</v>
      </c>
      <c r="O26" s="902"/>
      <c r="P26" s="324"/>
      <c r="Q26" s="280">
        <f>H26</f>
        <v>0</v>
      </c>
      <c r="R26" s="878">
        <f>P26*Q26</f>
        <v>0</v>
      </c>
      <c r="S26" s="878"/>
      <c r="T26" s="280">
        <f aca="true" t="shared" si="2" ref="T26:T39">K26</f>
        <v>0</v>
      </c>
      <c r="U26" s="878">
        <f aca="true" t="shared" si="3" ref="U26:U39">T26*P26</f>
        <v>0</v>
      </c>
      <c r="V26" s="933"/>
      <c r="W26" s="901">
        <f aca="true" t="shared" si="4" ref="W26:W48">R26+U26</f>
        <v>0</v>
      </c>
      <c r="X26" s="902"/>
      <c r="Z26" s="345" t="s">
        <v>3239</v>
      </c>
      <c r="AA26" s="345"/>
      <c r="AB26" s="345"/>
      <c r="AC26" s="345"/>
    </row>
    <row r="27" spans="1:29" s="3" customFormat="1" ht="11.25" customHeight="1">
      <c r="A27" s="909">
        <f>IF('Bridge Quantities'!AA38&gt;0,'Bridge Quantities'!AA3,IF('Bridge Quantities'!AB38&gt;0,'Bridge Quantities'!AB3,IF('Bridge Quantities'!AC38&gt;0,'Bridge Quantities'!AC3,0)))</f>
        <v>0</v>
      </c>
      <c r="B27" s="910"/>
      <c r="C27" s="910"/>
      <c r="D27" s="910"/>
      <c r="E27" s="911"/>
      <c r="F27" s="130">
        <f>IF('Bridge Quantities'!AA38&gt;0,'Bridge Quantities'!AA4,IF('Bridge Quantities'!AB38&gt;0,'Bridge Quantities'!AB4,IF('Bridge Quantities'!AC38&gt;0,'Bridge Quantities'!AC4,0)))</f>
        <v>0</v>
      </c>
      <c r="G27" s="301">
        <f>IF('Bridge Quantities'!AA38,'Bridge Quantities'!AA5,IF('Bridge Quantities'!AB38,'Bridge Quantities'!AB5,IF('Bridge Quantities'!AC38,'Bridge Quantities'!AC5,0)))</f>
        <v>0</v>
      </c>
      <c r="H27" s="315">
        <f>IF('Bridge Quantities'!AA38,'Bridge Quantities'!AA6,IF('Bridge Quantities'!AB38,'Bridge Quantities'!AB6,IF('Bridge Quantities'!AC38,'Bridge Quantities'!AC6,0)))</f>
        <v>0</v>
      </c>
      <c r="I27" s="871">
        <f>G27*H27</f>
        <v>0</v>
      </c>
      <c r="J27" s="872"/>
      <c r="K27" s="315">
        <f>IF(SUM('Bridge Quantities'!AA7:AA37),SUM('Bridge Quantities'!AA7:AA37),IF(SUM('Bridge Quantities'!AB7:AB37),SUM('Bridge Quantities'!AB7:AB37),IF(SUM('Bridge Quantities'!AC7:AC37),SUM('Bridge Quantities'!AC7:AC37),0)))</f>
        <v>0</v>
      </c>
      <c r="L27" s="878">
        <f t="shared" si="0"/>
        <v>0</v>
      </c>
      <c r="M27" s="851"/>
      <c r="N27" s="876">
        <f t="shared" si="1"/>
        <v>0</v>
      </c>
      <c r="O27" s="877"/>
      <c r="P27" s="325"/>
      <c r="Q27" s="315">
        <f>H27</f>
        <v>0</v>
      </c>
      <c r="R27" s="923">
        <f>P27*Q27</f>
        <v>0</v>
      </c>
      <c r="S27" s="924"/>
      <c r="T27" s="315">
        <f t="shared" si="2"/>
        <v>0</v>
      </c>
      <c r="U27" s="873">
        <f t="shared" si="3"/>
        <v>0</v>
      </c>
      <c r="V27" s="871"/>
      <c r="W27" s="850">
        <f t="shared" si="4"/>
        <v>0</v>
      </c>
      <c r="X27" s="851"/>
      <c r="Z27" s="353" t="s">
        <v>2608</v>
      </c>
      <c r="AA27" s="345"/>
      <c r="AB27" s="345"/>
      <c r="AC27" s="345"/>
    </row>
    <row r="28" spans="1:29" s="3" customFormat="1" ht="11.25" customHeight="1">
      <c r="A28" s="907">
        <f>IF('Bridge Quantities'!AD38&gt;0,'Bridge Quantities'!AD3,0)</f>
        <v>0</v>
      </c>
      <c r="B28" s="862"/>
      <c r="C28" s="862"/>
      <c r="D28" s="862"/>
      <c r="E28" s="908"/>
      <c r="F28" s="130">
        <f>IF('Bridge Quantities'!AD38&gt;0,'Bridge Quantities'!AD4,0)</f>
        <v>0</v>
      </c>
      <c r="G28" s="301">
        <f>IF('Bridge Quantities'!AD38&gt;0,'Bridge Quantities'!AD5,0)</f>
        <v>0</v>
      </c>
      <c r="H28" s="282">
        <f>IF('Bridge Quantities'!AD38&gt;0,'Bridge Quantities'!AD6,0)</f>
        <v>0</v>
      </c>
      <c r="I28" s="871">
        <f>G28*H28</f>
        <v>0</v>
      </c>
      <c r="J28" s="872"/>
      <c r="K28" s="283">
        <f>IF('Bridge Quantities'!AD38&gt;0,'Bridge Quantities'!AD38-'Bridge Quantities'!AD6,0)</f>
        <v>0</v>
      </c>
      <c r="L28" s="878">
        <f t="shared" si="0"/>
        <v>0</v>
      </c>
      <c r="M28" s="851"/>
      <c r="N28" s="876">
        <f t="shared" si="1"/>
        <v>0</v>
      </c>
      <c r="O28" s="877"/>
      <c r="P28" s="326"/>
      <c r="Q28" s="323">
        <f>H28</f>
        <v>0</v>
      </c>
      <c r="R28" s="871">
        <f>P28*Q28</f>
        <v>0</v>
      </c>
      <c r="S28" s="872"/>
      <c r="T28" s="283">
        <f t="shared" si="2"/>
        <v>0</v>
      </c>
      <c r="U28" s="873">
        <f t="shared" si="3"/>
        <v>0</v>
      </c>
      <c r="V28" s="871"/>
      <c r="W28" s="850">
        <f t="shared" si="4"/>
        <v>0</v>
      </c>
      <c r="X28" s="851"/>
      <c r="Z28" s="345" t="s">
        <v>3243</v>
      </c>
      <c r="AA28" s="345"/>
      <c r="AB28" s="345"/>
      <c r="AC28" s="345"/>
    </row>
    <row r="29" spans="1:29" s="3" customFormat="1" ht="11.25" customHeight="1">
      <c r="A29" s="907">
        <f>IF('Bridge Quantities'!AE38&gt;0,'Bridge Quantities'!AE3,0)</f>
        <v>0</v>
      </c>
      <c r="B29" s="862"/>
      <c r="C29" s="862"/>
      <c r="D29" s="862"/>
      <c r="E29" s="908"/>
      <c r="F29" s="130">
        <f>IF('Bridge Quantities'!AE38&gt;0,'Bridge Quantities'!AE4,0)</f>
        <v>0</v>
      </c>
      <c r="G29" s="301">
        <f>IF('Bridge Quantities'!AE38&gt;0,'Bridge Quantities'!AE5,0)</f>
        <v>0</v>
      </c>
      <c r="H29" s="283">
        <f>IF('Bridge Quantities'!AE38&gt;0,'Bridge Quantities'!AE6,0)</f>
        <v>0</v>
      </c>
      <c r="I29" s="873">
        <f>G29*H29</f>
        <v>0</v>
      </c>
      <c r="J29" s="873"/>
      <c r="K29" s="283">
        <f>IF('Bridge Quantities'!AE38&gt;0,'Bridge Quantities'!AE38-'Bridge Quantities'!AE6,0)</f>
        <v>0</v>
      </c>
      <c r="L29" s="873">
        <f t="shared" si="0"/>
        <v>0</v>
      </c>
      <c r="M29" s="877"/>
      <c r="N29" s="876">
        <f t="shared" si="1"/>
        <v>0</v>
      </c>
      <c r="O29" s="877"/>
      <c r="P29" s="326"/>
      <c r="Q29" s="283">
        <f>H29</f>
        <v>0</v>
      </c>
      <c r="R29" s="871">
        <f>P29*Q29</f>
        <v>0</v>
      </c>
      <c r="S29" s="872"/>
      <c r="T29" s="283">
        <f t="shared" si="2"/>
        <v>0</v>
      </c>
      <c r="U29" s="873">
        <f t="shared" si="3"/>
        <v>0</v>
      </c>
      <c r="V29" s="871"/>
      <c r="W29" s="876">
        <f t="shared" si="4"/>
        <v>0</v>
      </c>
      <c r="X29" s="877"/>
      <c r="Z29" s="345" t="s">
        <v>3244</v>
      </c>
      <c r="AA29" s="345"/>
      <c r="AB29" s="345"/>
      <c r="AC29" s="345"/>
    </row>
    <row r="30" spans="1:26" ht="9.75">
      <c r="A30" s="907">
        <f>IF('Bridge Quantities'!N38&gt;0,'Bridge Quantities'!N3,0)</f>
        <v>0</v>
      </c>
      <c r="B30" s="862"/>
      <c r="C30" s="862"/>
      <c r="D30" s="862"/>
      <c r="E30" s="908"/>
      <c r="F30" s="130">
        <f>IF('Bridge Quantities'!$N$38&gt;0,'Bridge Quantities'!$N$4,0)</f>
        <v>0</v>
      </c>
      <c r="G30" s="301">
        <f>IF('Bridge Quantities'!N38&gt;0,'Bridge Quantities'!N5,0)</f>
        <v>0</v>
      </c>
      <c r="H30" s="535"/>
      <c r="I30" s="870"/>
      <c r="J30" s="870"/>
      <c r="K30" s="281">
        <f>IF('Bridge Quantities'!N38&gt;0,'Bridge Quantities'!N38-'Bridge Quantities'!N6,0)</f>
        <v>0</v>
      </c>
      <c r="L30" s="952">
        <f>G30*K30</f>
        <v>0</v>
      </c>
      <c r="M30" s="952"/>
      <c r="N30" s="876">
        <f>I30+L30</f>
        <v>0</v>
      </c>
      <c r="O30" s="877"/>
      <c r="P30" s="536"/>
      <c r="Q30" s="535"/>
      <c r="R30" s="870"/>
      <c r="S30" s="870"/>
      <c r="T30" s="281">
        <f>K30</f>
        <v>0</v>
      </c>
      <c r="U30" s="873">
        <f>T30*P30</f>
        <v>0</v>
      </c>
      <c r="V30" s="871"/>
      <c r="W30" s="876">
        <f>R30+U30</f>
        <v>0</v>
      </c>
      <c r="X30" s="877"/>
      <c r="Z30" s="345" t="s">
        <v>3229</v>
      </c>
    </row>
    <row r="31" spans="1:29" s="3" customFormat="1" ht="11.25" customHeight="1">
      <c r="A31" s="907">
        <f>IF('Bridge Quantities'!O38&gt;0,'Bridge Quantities'!O3,0)</f>
        <v>0</v>
      </c>
      <c r="B31" s="862"/>
      <c r="C31" s="862"/>
      <c r="D31" s="862"/>
      <c r="E31" s="908"/>
      <c r="F31" s="130">
        <f>IF('Bridge Quantities'!O38&gt;0,'Bridge Quantities'!O4,0)</f>
        <v>0</v>
      </c>
      <c r="G31" s="301">
        <f>IF('Bridge Quantities'!O38,'Bridge Quantities'!O5,0)</f>
        <v>0</v>
      </c>
      <c r="H31" s="331"/>
      <c r="I31" s="880"/>
      <c r="J31" s="880"/>
      <c r="K31" s="281">
        <f>IF('Bridge Quantities'!O38&gt;0,'Bridge Quantities'!O38,0)</f>
        <v>0</v>
      </c>
      <c r="L31" s="873">
        <f t="shared" si="0"/>
        <v>0</v>
      </c>
      <c r="M31" s="877"/>
      <c r="N31" s="876">
        <f t="shared" si="1"/>
        <v>0</v>
      </c>
      <c r="O31" s="877"/>
      <c r="P31" s="325"/>
      <c r="Q31" s="331"/>
      <c r="R31" s="874"/>
      <c r="S31" s="875"/>
      <c r="T31" s="281">
        <f t="shared" si="2"/>
        <v>0</v>
      </c>
      <c r="U31" s="873">
        <f>T31*P31</f>
        <v>0</v>
      </c>
      <c r="V31" s="871"/>
      <c r="W31" s="876">
        <f>R31+U31</f>
        <v>0</v>
      </c>
      <c r="X31" s="877"/>
      <c r="Z31" s="345" t="s">
        <v>3230</v>
      </c>
      <c r="AA31" s="345"/>
      <c r="AB31" s="345"/>
      <c r="AC31" s="345"/>
    </row>
    <row r="32" spans="1:29" s="51" customFormat="1" ht="11.25" customHeight="1">
      <c r="A32" s="909">
        <f>IF('Bridge Quantities'!D38&gt;0,'Bridge Quantities'!D3,IF('Bridge Quantities'!E38&gt;0,'Bridge Quantities'!E3,0))</f>
        <v>0</v>
      </c>
      <c r="B32" s="910"/>
      <c r="C32" s="910"/>
      <c r="D32" s="910"/>
      <c r="E32" s="911"/>
      <c r="F32" s="130">
        <f>IF('Bridge Quantities'!D38&gt;0,'Bridge Quantities'!D4,IF('Bridge Quantities'!E38&gt;0,'Bridge Quantities'!E4,0))</f>
        <v>0</v>
      </c>
      <c r="G32" s="301">
        <f>IF('Bridge Quantities'!D38&gt;0,'Bridge Quantities'!D5,IF('Bridge Quantities'!E38&gt;0,'Bridge Quantities'!E5,0))</f>
        <v>0</v>
      </c>
      <c r="H32" s="331"/>
      <c r="I32" s="880"/>
      <c r="J32" s="880"/>
      <c r="K32" s="281">
        <f>IF('Bridge Quantities'!D38,'Bridge Quantities'!D38,IF('Bridge Quantities'!E38,'Bridge Quantities'!E38,0))</f>
        <v>0</v>
      </c>
      <c r="L32" s="878">
        <f t="shared" si="0"/>
        <v>0</v>
      </c>
      <c r="M32" s="851"/>
      <c r="N32" s="876">
        <f t="shared" si="1"/>
        <v>0</v>
      </c>
      <c r="O32" s="877"/>
      <c r="P32" s="325"/>
      <c r="Q32" s="331"/>
      <c r="R32" s="874"/>
      <c r="S32" s="875"/>
      <c r="T32" s="281">
        <f t="shared" si="2"/>
        <v>0</v>
      </c>
      <c r="U32" s="873">
        <f t="shared" si="3"/>
        <v>0</v>
      </c>
      <c r="V32" s="871"/>
      <c r="W32" s="850">
        <f t="shared" si="4"/>
        <v>0</v>
      </c>
      <c r="X32" s="851"/>
      <c r="Z32" s="353" t="s">
        <v>2607</v>
      </c>
      <c r="AA32" s="345"/>
      <c r="AB32" s="345"/>
      <c r="AC32" s="345"/>
    </row>
    <row r="33" spans="1:29" s="51" customFormat="1" ht="11.25" customHeight="1">
      <c r="A33" s="907">
        <f>IF('Bridge Quantities'!C38&gt;0,'Bridge Quantities'!C3,0)</f>
        <v>0</v>
      </c>
      <c r="B33" s="862"/>
      <c r="C33" s="862"/>
      <c r="D33" s="862"/>
      <c r="E33" s="908"/>
      <c r="F33" s="130">
        <f>IF('Bridge Quantities'!C38&gt;0,'Bridge Quantities'!C4,0)</f>
        <v>0</v>
      </c>
      <c r="G33" s="301">
        <f>IF('Bridge Quantities'!C38&gt;0,'Bridge Quantities'!C5,0)</f>
        <v>0</v>
      </c>
      <c r="H33" s="331"/>
      <c r="I33" s="880"/>
      <c r="J33" s="880"/>
      <c r="K33" s="281">
        <f>IF('Bridge Quantities'!C38&gt;0,'Bridge Quantities'!C38,0)</f>
        <v>0</v>
      </c>
      <c r="L33" s="878">
        <f t="shared" si="0"/>
        <v>0</v>
      </c>
      <c r="M33" s="851"/>
      <c r="N33" s="876">
        <f t="shared" si="1"/>
        <v>0</v>
      </c>
      <c r="O33" s="877"/>
      <c r="P33" s="325"/>
      <c r="Q33" s="331"/>
      <c r="R33" s="874"/>
      <c r="S33" s="875"/>
      <c r="T33" s="281">
        <f t="shared" si="2"/>
        <v>0</v>
      </c>
      <c r="U33" s="873">
        <f t="shared" si="3"/>
        <v>0</v>
      </c>
      <c r="V33" s="871"/>
      <c r="W33" s="850">
        <f t="shared" si="4"/>
        <v>0</v>
      </c>
      <c r="X33" s="851"/>
      <c r="Z33" s="345" t="s">
        <v>3226</v>
      </c>
      <c r="AA33" s="345"/>
      <c r="AB33" s="345"/>
      <c r="AC33" s="345"/>
    </row>
    <row r="34" spans="1:29" s="3" customFormat="1" ht="11.25" customHeight="1">
      <c r="A34" s="907">
        <f>IF('Bridge Quantities'!T38&gt;0,'Bridge Quantities'!T3,0)</f>
        <v>0</v>
      </c>
      <c r="B34" s="862"/>
      <c r="C34" s="862"/>
      <c r="D34" s="862"/>
      <c r="E34" s="908"/>
      <c r="F34" s="130">
        <f>IF('Bridge Quantities'!T38&gt;0,'Bridge Quantities'!T4,0)</f>
        <v>0</v>
      </c>
      <c r="G34" s="301">
        <f>IF('Bridge Quantities'!T38&gt;0,'Bridge Quantities'!T5,0)</f>
        <v>0</v>
      </c>
      <c r="H34" s="331"/>
      <c r="I34" s="880"/>
      <c r="J34" s="880"/>
      <c r="K34" s="283">
        <f>IF('Bridge Quantities'!T38&gt;0,'Bridge Quantities'!T38,0)</f>
        <v>0</v>
      </c>
      <c r="L34" s="878">
        <f t="shared" si="0"/>
        <v>0</v>
      </c>
      <c r="M34" s="851"/>
      <c r="N34" s="876">
        <f t="shared" si="1"/>
        <v>0</v>
      </c>
      <c r="O34" s="877"/>
      <c r="P34" s="325"/>
      <c r="Q34" s="331"/>
      <c r="R34" s="874"/>
      <c r="S34" s="875"/>
      <c r="T34" s="283">
        <f t="shared" si="2"/>
        <v>0</v>
      </c>
      <c r="U34" s="873">
        <f t="shared" si="3"/>
        <v>0</v>
      </c>
      <c r="V34" s="871"/>
      <c r="W34" s="850">
        <f t="shared" si="4"/>
        <v>0</v>
      </c>
      <c r="X34" s="851"/>
      <c r="Z34" s="345" t="s">
        <v>3236</v>
      </c>
      <c r="AA34" s="345"/>
      <c r="AB34" s="345"/>
      <c r="AC34" s="345"/>
    </row>
    <row r="35" spans="1:29" s="3" customFormat="1" ht="11.25" customHeight="1">
      <c r="A35" s="909">
        <f>IF('Bridge Quantities'!U38&gt;0,'Bridge Quantities'!U3,IF('Bridge Quantities'!W38&gt;0,'Bridge Quantities'!W3,0))</f>
        <v>0</v>
      </c>
      <c r="B35" s="910"/>
      <c r="C35" s="910"/>
      <c r="D35" s="910"/>
      <c r="E35" s="911"/>
      <c r="F35" s="130">
        <f>IF('Bridge Quantities'!U38&gt;0,'Bridge Quantities'!U4,IF('Bridge Quantities'!W38&gt;0,'Bridge Quantities'!W4,0))</f>
        <v>0</v>
      </c>
      <c r="G35" s="301">
        <f>IF('Bridge Quantities'!U38&gt;0,'Bridge Quantities'!U5,IF('Bridge Quantities'!W38&gt;0,'Bridge Quantities'!W5,0))</f>
        <v>0</v>
      </c>
      <c r="H35" s="331"/>
      <c r="I35" s="880"/>
      <c r="J35" s="880"/>
      <c r="K35" s="316">
        <f>IF(A35='Bridge Quantities'!U3,'Bridge Quantities'!U38-'Bridge Quantities'!U6,IF(A35='Bridge Quantities'!W3,'Bridge Quantities'!W38-'Bridge Quantities'!W6,0))</f>
        <v>0</v>
      </c>
      <c r="L35" s="878">
        <f t="shared" si="0"/>
        <v>0</v>
      </c>
      <c r="M35" s="851"/>
      <c r="N35" s="876">
        <f t="shared" si="1"/>
        <v>0</v>
      </c>
      <c r="O35" s="877"/>
      <c r="P35" s="325"/>
      <c r="Q35" s="331"/>
      <c r="R35" s="874"/>
      <c r="S35" s="875"/>
      <c r="T35" s="316">
        <f t="shared" si="2"/>
        <v>0</v>
      </c>
      <c r="U35" s="873">
        <f t="shared" si="3"/>
        <v>0</v>
      </c>
      <c r="V35" s="871"/>
      <c r="W35" s="850">
        <f t="shared" si="4"/>
        <v>0</v>
      </c>
      <c r="X35" s="851"/>
      <c r="Z35" s="353" t="s">
        <v>2606</v>
      </c>
      <c r="AA35" s="345"/>
      <c r="AB35" s="345"/>
      <c r="AC35" s="345"/>
    </row>
    <row r="36" spans="1:29" s="3" customFormat="1" ht="11.25" customHeight="1">
      <c r="A36" s="907">
        <f>IF('Bridge Quantities'!V38&gt;0,'Bridge Quantities'!V3,0)</f>
        <v>0</v>
      </c>
      <c r="B36" s="862"/>
      <c r="C36" s="862"/>
      <c r="D36" s="862"/>
      <c r="E36" s="908"/>
      <c r="F36" s="130">
        <f>IF('Bridge Quantities'!V38&gt;0,'Bridge Quantities'!V4,0)</f>
        <v>0</v>
      </c>
      <c r="G36" s="301">
        <f>IF('Bridge Quantities'!V38&gt;0,'Bridge Quantities'!V5,0)</f>
        <v>0</v>
      </c>
      <c r="H36" s="331"/>
      <c r="I36" s="880"/>
      <c r="J36" s="880"/>
      <c r="K36" s="283">
        <f>IF('Bridge Quantities'!V38&gt;0,'Bridge Quantities'!V38,0)</f>
        <v>0</v>
      </c>
      <c r="L36" s="878">
        <f t="shared" si="0"/>
        <v>0</v>
      </c>
      <c r="M36" s="851"/>
      <c r="N36" s="876">
        <f t="shared" si="1"/>
        <v>0</v>
      </c>
      <c r="O36" s="877"/>
      <c r="P36" s="325"/>
      <c r="Q36" s="331"/>
      <c r="R36" s="874"/>
      <c r="S36" s="875"/>
      <c r="T36" s="283">
        <f t="shared" si="2"/>
        <v>0</v>
      </c>
      <c r="U36" s="873">
        <f t="shared" si="3"/>
        <v>0</v>
      </c>
      <c r="V36" s="871"/>
      <c r="W36" s="850">
        <f t="shared" si="4"/>
        <v>0</v>
      </c>
      <c r="X36" s="851"/>
      <c r="Z36" s="345" t="s">
        <v>3237</v>
      </c>
      <c r="AA36" s="345"/>
      <c r="AB36" s="345"/>
      <c r="AC36" s="345"/>
    </row>
    <row r="37" spans="1:29" s="3" customFormat="1" ht="11.25" customHeight="1">
      <c r="A37" s="907">
        <f>IF('Bridge Quantities'!S38&gt;0,'Bridge Quantities'!S3,0)</f>
        <v>0</v>
      </c>
      <c r="B37" s="862"/>
      <c r="C37" s="862"/>
      <c r="D37" s="862"/>
      <c r="E37" s="908"/>
      <c r="F37" s="130">
        <f>IF('Bridge Quantities'!S38&gt;0,'Bridge Quantities'!S4,0)</f>
        <v>0</v>
      </c>
      <c r="G37" s="301">
        <f>IF('Bridge Quantities'!S38&gt;0,'Bridge Quantities'!S5,0)</f>
        <v>0</v>
      </c>
      <c r="H37" s="331"/>
      <c r="I37" s="880"/>
      <c r="J37" s="880"/>
      <c r="K37" s="283">
        <f>IF('Bridge Quantities'!S38&gt;0,'Bridge Quantities'!S38,0)</f>
        <v>0</v>
      </c>
      <c r="L37" s="878">
        <f t="shared" si="0"/>
        <v>0</v>
      </c>
      <c r="M37" s="851"/>
      <c r="N37" s="876">
        <f t="shared" si="1"/>
        <v>0</v>
      </c>
      <c r="O37" s="877"/>
      <c r="P37" s="325"/>
      <c r="Q37" s="331"/>
      <c r="R37" s="874"/>
      <c r="S37" s="875"/>
      <c r="T37" s="283">
        <f t="shared" si="2"/>
        <v>0</v>
      </c>
      <c r="U37" s="873">
        <f t="shared" si="3"/>
        <v>0</v>
      </c>
      <c r="V37" s="871"/>
      <c r="W37" s="850">
        <f t="shared" si="4"/>
        <v>0</v>
      </c>
      <c r="X37" s="851"/>
      <c r="Z37" s="345" t="s">
        <v>3234</v>
      </c>
      <c r="AA37" s="345"/>
      <c r="AB37" s="345"/>
      <c r="AC37" s="345"/>
    </row>
    <row r="38" spans="1:29" s="3" customFormat="1" ht="11.25" customHeight="1">
      <c r="A38" s="907">
        <f>IF('Bridge Quantities'!X38&gt;0,'Bridge Quantities'!X3,0)</f>
        <v>0</v>
      </c>
      <c r="B38" s="862"/>
      <c r="C38" s="862"/>
      <c r="D38" s="862"/>
      <c r="E38" s="908"/>
      <c r="F38" s="130">
        <f>IF('Bridge Quantities'!X38&gt;0,'Bridge Quantities'!X4,0)</f>
        <v>0</v>
      </c>
      <c r="G38" s="301">
        <f>IF('Bridge Quantities'!X38&gt;0,'Bridge Quantities'!X5,0)</f>
        <v>0</v>
      </c>
      <c r="H38" s="331"/>
      <c r="I38" s="880"/>
      <c r="J38" s="880"/>
      <c r="K38" s="283">
        <f>IF('Bridge Quantities'!X38&gt;0,'Bridge Quantities'!X38,0)</f>
        <v>0</v>
      </c>
      <c r="L38" s="878">
        <f t="shared" si="0"/>
        <v>0</v>
      </c>
      <c r="M38" s="851"/>
      <c r="N38" s="876">
        <f t="shared" si="1"/>
        <v>0</v>
      </c>
      <c r="O38" s="877"/>
      <c r="P38" s="325"/>
      <c r="Q38" s="331"/>
      <c r="R38" s="874"/>
      <c r="S38" s="875"/>
      <c r="T38" s="283">
        <f t="shared" si="2"/>
        <v>0</v>
      </c>
      <c r="U38" s="873">
        <f t="shared" si="3"/>
        <v>0</v>
      </c>
      <c r="V38" s="871"/>
      <c r="W38" s="850">
        <f t="shared" si="4"/>
        <v>0</v>
      </c>
      <c r="X38" s="851"/>
      <c r="Z38" s="345" t="s">
        <v>3146</v>
      </c>
      <c r="AA38" s="345"/>
      <c r="AB38" s="345"/>
      <c r="AC38" s="345"/>
    </row>
    <row r="39" spans="1:29" s="51" customFormat="1" ht="11.25" customHeight="1">
      <c r="A39" s="907">
        <f>IF('Bridge Quantities'!Y38&gt;0,'Bridge Quantities'!Y3,0)</f>
        <v>0</v>
      </c>
      <c r="B39" s="862"/>
      <c r="C39" s="862"/>
      <c r="D39" s="862"/>
      <c r="E39" s="908"/>
      <c r="F39" s="130">
        <f>IF('Bridge Quantities'!Y38&gt;0,'Bridge Quantities'!Y4,0)</f>
        <v>0</v>
      </c>
      <c r="G39" s="301">
        <f>IF('Bridge Quantities'!Y38&gt;0,'Bridge Quantities'!Y5,0)</f>
        <v>0</v>
      </c>
      <c r="H39" s="331"/>
      <c r="I39" s="880"/>
      <c r="J39" s="880"/>
      <c r="K39" s="283">
        <f>IF('Bridge Quantities'!Y38&gt;0,'Bridge Quantities'!Y38,0)</f>
        <v>0</v>
      </c>
      <c r="L39" s="878">
        <f t="shared" si="0"/>
        <v>0</v>
      </c>
      <c r="M39" s="851"/>
      <c r="N39" s="876">
        <f t="shared" si="1"/>
        <v>0</v>
      </c>
      <c r="O39" s="877"/>
      <c r="P39" s="325"/>
      <c r="Q39" s="331"/>
      <c r="R39" s="874"/>
      <c r="S39" s="875"/>
      <c r="T39" s="283">
        <f t="shared" si="2"/>
        <v>0</v>
      </c>
      <c r="U39" s="873">
        <f t="shared" si="3"/>
        <v>0</v>
      </c>
      <c r="V39" s="871"/>
      <c r="W39" s="850">
        <f t="shared" si="4"/>
        <v>0</v>
      </c>
      <c r="X39" s="851"/>
      <c r="Z39" s="345" t="s">
        <v>3147</v>
      </c>
      <c r="AA39" s="345"/>
      <c r="AB39" s="345"/>
      <c r="AC39" s="345"/>
    </row>
    <row r="40" spans="1:29" s="51" customFormat="1" ht="11.25" customHeight="1">
      <c r="A40" s="945">
        <f>IF(Z18&gt;0,AC18,IF(Z19&gt;0,AC19,IF(Z20&gt;0,AC20,IF(Z21&gt;0,AC21,0))))</f>
        <v>0</v>
      </c>
      <c r="B40" s="910"/>
      <c r="C40" s="910"/>
      <c r="D40" s="910"/>
      <c r="E40" s="911"/>
      <c r="F40" s="320">
        <f>IF(Z18&gt;0,AA18,IF(Z19&gt;0,AA19,IF(Z20&gt;0,AA20,IF(Z21&gt;0,AA21,0))))</f>
        <v>0</v>
      </c>
      <c r="G40" s="321">
        <f>IF(Z18&gt;0,AB18,IF(Z19&gt;0,AB19,IF(Z20&gt;0,AB20,IF(Z21&gt;0,AB21,0))))</f>
        <v>0</v>
      </c>
      <c r="H40" s="322">
        <f>IF(Z18&gt;0,Z18,IF(Z19&gt;0,Z19,IF(Z20&gt;0,Z20,IF(Z21&gt;0,Z21,0))))</f>
        <v>0</v>
      </c>
      <c r="I40" s="905">
        <f aca="true" t="shared" si="5" ref="I40:I47">G40*H40</f>
        <v>0</v>
      </c>
      <c r="J40" s="905"/>
      <c r="K40" s="331"/>
      <c r="L40" s="879"/>
      <c r="M40" s="912"/>
      <c r="N40" s="876">
        <f t="shared" si="1"/>
        <v>0</v>
      </c>
      <c r="O40" s="877"/>
      <c r="P40" s="326"/>
      <c r="Q40" s="322">
        <f aca="true" t="shared" si="6" ref="Q40:Q47">H40</f>
        <v>0</v>
      </c>
      <c r="R40" s="871">
        <f aca="true" t="shared" si="7" ref="R40:R47">P40*Q40</f>
        <v>0</v>
      </c>
      <c r="S40" s="872"/>
      <c r="T40" s="331"/>
      <c r="U40" s="880"/>
      <c r="V40" s="880"/>
      <c r="W40" s="850">
        <f t="shared" si="4"/>
        <v>0</v>
      </c>
      <c r="X40" s="851"/>
      <c r="Z40" s="353" t="s">
        <v>2609</v>
      </c>
      <c r="AA40" s="345"/>
      <c r="AB40" s="345"/>
      <c r="AC40" s="345"/>
    </row>
    <row r="41" spans="1:29" s="51" customFormat="1" ht="11.25" customHeight="1">
      <c r="A41" s="907">
        <f>IF('Bridge Quantities'!F38&gt;0,'Bridge Quantities'!F3,0)</f>
        <v>0</v>
      </c>
      <c r="B41" s="862"/>
      <c r="C41" s="862"/>
      <c r="D41" s="862"/>
      <c r="E41" s="908"/>
      <c r="F41" s="130">
        <f>IF('Bridge Quantities'!F38&gt;0,'Bridge Quantities'!F4,0)</f>
        <v>0</v>
      </c>
      <c r="G41" s="301">
        <f>IF('Bridge Quantities'!F38&gt;0,'Bridge Quantities'!F5,0)</f>
        <v>0</v>
      </c>
      <c r="H41" s="284">
        <f>IF('Bridge Quantities'!F38&gt;0,'Bridge Quantities'!F6,0)</f>
        <v>0</v>
      </c>
      <c r="I41" s="873">
        <f t="shared" si="5"/>
        <v>0</v>
      </c>
      <c r="J41" s="873"/>
      <c r="K41" s="331"/>
      <c r="L41" s="921"/>
      <c r="M41" s="922"/>
      <c r="N41" s="876">
        <f t="shared" si="1"/>
        <v>0</v>
      </c>
      <c r="O41" s="877"/>
      <c r="P41" s="326"/>
      <c r="Q41" s="284">
        <f t="shared" si="6"/>
        <v>0</v>
      </c>
      <c r="R41" s="871">
        <f t="shared" si="7"/>
        <v>0</v>
      </c>
      <c r="S41" s="872"/>
      <c r="T41" s="331"/>
      <c r="U41" s="879"/>
      <c r="V41" s="879"/>
      <c r="W41" s="850">
        <f t="shared" si="4"/>
        <v>0</v>
      </c>
      <c r="X41" s="851"/>
      <c r="Z41" s="345" t="s">
        <v>3153</v>
      </c>
      <c r="AA41" s="345"/>
      <c r="AB41" s="345"/>
      <c r="AC41" s="345"/>
    </row>
    <row r="42" spans="1:29" s="51" customFormat="1" ht="11.25" customHeight="1">
      <c r="A42" s="907">
        <f>IF('Bridge Quantities'!G38&gt;0,'Bridge Quantities'!G3,IF('Bridge Quantities'!H38&gt;0,'Bridge Quantities'!H3,0))</f>
        <v>0</v>
      </c>
      <c r="B42" s="862"/>
      <c r="C42" s="862"/>
      <c r="D42" s="862"/>
      <c r="E42" s="908"/>
      <c r="F42" s="130">
        <f>IF('Bridge Quantities'!G38&gt;0,'Bridge Quantities'!G4,IF('Bridge Quantities'!H38&gt;0,'Bridge Quantities'!H4,0))</f>
        <v>0</v>
      </c>
      <c r="G42" s="301">
        <f>IF('Bridge Quantities'!G38&gt;0,'Bridge Quantities'!G5,IF('Bridge Quantities'!H38&gt;0,'Bridge Quantities'!H5,0))</f>
        <v>0</v>
      </c>
      <c r="H42" s="284">
        <f>IF('Bridge Quantities'!G38&gt;0,'Bridge Quantities'!G6,IF('Bridge Quantities'!H38,'Bridge Quantities'!H38,0))</f>
        <v>0</v>
      </c>
      <c r="I42" s="873">
        <f t="shared" si="5"/>
        <v>0</v>
      </c>
      <c r="J42" s="873"/>
      <c r="K42" s="331"/>
      <c r="L42" s="879"/>
      <c r="M42" s="912"/>
      <c r="N42" s="876">
        <f t="shared" si="1"/>
        <v>0</v>
      </c>
      <c r="O42" s="877"/>
      <c r="P42" s="326"/>
      <c r="Q42" s="284">
        <f t="shared" si="6"/>
        <v>0</v>
      </c>
      <c r="R42" s="871">
        <f t="shared" si="7"/>
        <v>0</v>
      </c>
      <c r="S42" s="872"/>
      <c r="T42" s="331"/>
      <c r="U42" s="879"/>
      <c r="V42" s="879"/>
      <c r="W42" s="850">
        <f t="shared" si="4"/>
        <v>0</v>
      </c>
      <c r="X42" s="851"/>
      <c r="Z42" s="345" t="s">
        <v>3777</v>
      </c>
      <c r="AA42" s="345"/>
      <c r="AB42" s="345"/>
      <c r="AC42" s="345"/>
    </row>
    <row r="43" spans="1:29" s="59" customFormat="1" ht="9.75">
      <c r="A43" s="907">
        <f>IF('Bridge Quantities'!AN38&gt;0,'Bridge Quantities'!AN3,0)</f>
        <v>0</v>
      </c>
      <c r="B43" s="862"/>
      <c r="C43" s="862"/>
      <c r="D43" s="862"/>
      <c r="E43" s="908"/>
      <c r="F43" s="130">
        <f>IF('Bridge Quantities'!AN38&gt;0,'Bridge Quantities'!AN4,0)</f>
        <v>0</v>
      </c>
      <c r="G43" s="330">
        <f>IF('Bridge Quantities'!AN38&gt;0,'Bridge Quantities'!AN5,0)</f>
        <v>0</v>
      </c>
      <c r="H43" s="281">
        <f>IF('Bridge Quantities'!AN38&gt;0,'Bridge Quantities'!AN6,0)</f>
        <v>0</v>
      </c>
      <c r="I43" s="873">
        <f t="shared" si="5"/>
        <v>0</v>
      </c>
      <c r="J43" s="873"/>
      <c r="K43" s="281">
        <f>IF('Bridge Quantities'!AN38&gt;0,'Bridge Quantities'!AN38-'Bridge Quantities'!AN6,0)</f>
        <v>0</v>
      </c>
      <c r="L43" s="878">
        <f>K43*G43</f>
        <v>0</v>
      </c>
      <c r="M43" s="851"/>
      <c r="N43" s="876">
        <f t="shared" si="1"/>
        <v>0</v>
      </c>
      <c r="O43" s="877"/>
      <c r="P43" s="327"/>
      <c r="Q43" s="281">
        <f t="shared" si="6"/>
        <v>0</v>
      </c>
      <c r="R43" s="919">
        <f t="shared" si="7"/>
        <v>0</v>
      </c>
      <c r="S43" s="920"/>
      <c r="T43" s="281">
        <f>K43</f>
        <v>0</v>
      </c>
      <c r="U43" s="919">
        <f>T43*P43</f>
        <v>0</v>
      </c>
      <c r="V43" s="920"/>
      <c r="W43" s="850">
        <f t="shared" si="4"/>
        <v>0</v>
      </c>
      <c r="X43" s="851"/>
      <c r="Z43" s="345" t="s">
        <v>2804</v>
      </c>
      <c r="AA43" s="346"/>
      <c r="AB43" s="346"/>
      <c r="AC43" s="346"/>
    </row>
    <row r="44" spans="1:29" s="59" customFormat="1" ht="9.75">
      <c r="A44" s="907">
        <f>IF('Bridge Quantities'!AF38&gt;0,'Bridge Quantities'!AF3,0)</f>
        <v>0</v>
      </c>
      <c r="B44" s="862"/>
      <c r="C44" s="862"/>
      <c r="D44" s="862"/>
      <c r="E44" s="908"/>
      <c r="F44" s="130">
        <f>IF('Bridge Quantities'!AF38&gt;0,'Bridge Quantities'!AF4,0)</f>
        <v>0</v>
      </c>
      <c r="G44" s="330">
        <f>IF('Bridge Quantities'!AF38&gt;0,'Bridge Quantities'!AF5,0)</f>
        <v>0</v>
      </c>
      <c r="H44" s="281">
        <f>IF('Bridge Quantities'!AF38&gt;0,'Bridge Quantities'!AF6,0)</f>
        <v>0</v>
      </c>
      <c r="I44" s="873">
        <f t="shared" si="5"/>
        <v>0</v>
      </c>
      <c r="J44" s="873"/>
      <c r="K44" s="331"/>
      <c r="L44" s="879"/>
      <c r="M44" s="912"/>
      <c r="N44" s="876">
        <f t="shared" si="1"/>
        <v>0</v>
      </c>
      <c r="O44" s="877"/>
      <c r="P44" s="327"/>
      <c r="Q44" s="281">
        <f t="shared" si="6"/>
        <v>0</v>
      </c>
      <c r="R44" s="919">
        <f t="shared" si="7"/>
        <v>0</v>
      </c>
      <c r="S44" s="920"/>
      <c r="T44" s="331"/>
      <c r="U44" s="879"/>
      <c r="V44" s="879"/>
      <c r="W44" s="850">
        <f t="shared" si="4"/>
        <v>0</v>
      </c>
      <c r="X44" s="851"/>
      <c r="Z44" s="346" t="s">
        <v>998</v>
      </c>
      <c r="AA44" s="346"/>
      <c r="AB44" s="346"/>
      <c r="AC44" s="346"/>
    </row>
    <row r="45" spans="1:29" s="59" customFormat="1" ht="9.75">
      <c r="A45" s="907">
        <f>IF('Bridge Quantities'!AG38&gt;0,'Bridge Quantities'!AG3,0)</f>
        <v>0</v>
      </c>
      <c r="B45" s="862"/>
      <c r="C45" s="862"/>
      <c r="D45" s="862"/>
      <c r="E45" s="908"/>
      <c r="F45" s="130">
        <f>IF('Bridge Quantities'!AG38&gt;0,'Bridge Quantities'!AG4,0)</f>
        <v>0</v>
      </c>
      <c r="G45" s="330">
        <f>IF('Bridge Quantities'!AG38&gt;0,'Bridge Quantities'!AG5,0)</f>
        <v>0</v>
      </c>
      <c r="H45" s="281">
        <f>IF('Bridge Quantities'!AG38&gt;0,'Bridge Quantities'!AG6,0)</f>
        <v>0</v>
      </c>
      <c r="I45" s="873">
        <f t="shared" si="5"/>
        <v>0</v>
      </c>
      <c r="J45" s="873"/>
      <c r="K45" s="331"/>
      <c r="L45" s="879"/>
      <c r="M45" s="912"/>
      <c r="N45" s="876">
        <f t="shared" si="1"/>
        <v>0</v>
      </c>
      <c r="O45" s="877"/>
      <c r="P45" s="327"/>
      <c r="Q45" s="281">
        <f t="shared" si="6"/>
        <v>0</v>
      </c>
      <c r="R45" s="919">
        <f t="shared" si="7"/>
        <v>0</v>
      </c>
      <c r="S45" s="920"/>
      <c r="T45" s="331"/>
      <c r="U45" s="879"/>
      <c r="V45" s="879"/>
      <c r="W45" s="850">
        <f t="shared" si="4"/>
        <v>0</v>
      </c>
      <c r="X45" s="851"/>
      <c r="Z45" s="345" t="s">
        <v>3246</v>
      </c>
      <c r="AA45" s="346"/>
      <c r="AB45" s="346"/>
      <c r="AC45" s="346"/>
    </row>
    <row r="46" spans="1:29" s="3" customFormat="1" ht="11.25" customHeight="1">
      <c r="A46" s="907">
        <f>IF('Bridge Quantities'!AH38&gt;0,'Bridge Quantities'!AH3,0)</f>
        <v>0</v>
      </c>
      <c r="B46" s="862"/>
      <c r="C46" s="862"/>
      <c r="D46" s="862"/>
      <c r="E46" s="908"/>
      <c r="F46" s="130">
        <f>IF('Bridge Quantities'!AH38&gt;0,'Bridge Quantities'!AH4,0)</f>
        <v>0</v>
      </c>
      <c r="G46" s="301">
        <f>IF('Bridge Quantities'!AH38&gt;0,'Bridge Quantities'!AH5,0)</f>
        <v>0</v>
      </c>
      <c r="H46" s="282">
        <f>IF('Bridge Quantities'!AH38&gt;0,'Bridge Quantities'!AH6,0)</f>
        <v>0</v>
      </c>
      <c r="I46" s="873">
        <f t="shared" si="5"/>
        <v>0</v>
      </c>
      <c r="J46" s="873"/>
      <c r="K46" s="315">
        <f>IF('Bridge Quantities'!AH38&gt;0,'Bridge Quantities'!AH38-'Bridge Quantities'!AH6,0)</f>
        <v>0</v>
      </c>
      <c r="L46" s="873">
        <f>G46*K46</f>
        <v>0</v>
      </c>
      <c r="M46" s="877"/>
      <c r="N46" s="876">
        <f t="shared" si="1"/>
        <v>0</v>
      </c>
      <c r="O46" s="877"/>
      <c r="P46" s="325"/>
      <c r="Q46" s="282">
        <f t="shared" si="6"/>
        <v>0</v>
      </c>
      <c r="R46" s="871">
        <f t="shared" si="7"/>
        <v>0</v>
      </c>
      <c r="S46" s="872"/>
      <c r="T46" s="315">
        <f>K46</f>
        <v>0</v>
      </c>
      <c r="U46" s="905">
        <f>T46*P46</f>
        <v>0</v>
      </c>
      <c r="V46" s="905"/>
      <c r="W46" s="850">
        <f t="shared" si="4"/>
        <v>0</v>
      </c>
      <c r="X46" s="851"/>
      <c r="Z46" s="345" t="s">
        <v>3247</v>
      </c>
      <c r="AA46" s="345"/>
      <c r="AB46" s="345"/>
      <c r="AC46" s="345"/>
    </row>
    <row r="47" spans="1:29" s="3" customFormat="1" ht="11.25" customHeight="1">
      <c r="A47" s="907">
        <f>IF('Bridge Quantities'!M38&gt;0,'Bridge Quantities'!M3,0)</f>
        <v>0</v>
      </c>
      <c r="B47" s="862"/>
      <c r="C47" s="862"/>
      <c r="D47" s="862"/>
      <c r="E47" s="908"/>
      <c r="F47" s="130">
        <f>IF('Bridge Quantities'!M38&gt;0,'Bridge Quantities'!M4,0)</f>
        <v>0</v>
      </c>
      <c r="G47" s="301">
        <f>IF('Bridge Quantities'!M38,'Bridge Quantities'!M5,0)</f>
        <v>0</v>
      </c>
      <c r="H47" s="282">
        <f>IF('Bridge Quantities'!M38&gt;0,'Bridge Quantities'!M6,0)</f>
        <v>0</v>
      </c>
      <c r="I47" s="873">
        <f t="shared" si="5"/>
        <v>0</v>
      </c>
      <c r="J47" s="873"/>
      <c r="K47" s="323">
        <f>IF('Bridge Quantities'!M38&gt;0,('Bridge Quantities'!M38-'Bridge Quantities'!M6),0)</f>
        <v>0</v>
      </c>
      <c r="L47" s="873">
        <f>G47*K47</f>
        <v>0</v>
      </c>
      <c r="M47" s="877"/>
      <c r="N47" s="876">
        <f t="shared" si="1"/>
        <v>0</v>
      </c>
      <c r="O47" s="877"/>
      <c r="P47" s="325"/>
      <c r="Q47" s="282">
        <f t="shared" si="6"/>
        <v>0</v>
      </c>
      <c r="R47" s="871">
        <f t="shared" si="7"/>
        <v>0</v>
      </c>
      <c r="S47" s="872"/>
      <c r="T47" s="323">
        <f>K47</f>
        <v>0</v>
      </c>
      <c r="U47" s="873">
        <f>T47*P47</f>
        <v>0</v>
      </c>
      <c r="V47" s="873"/>
      <c r="W47" s="850">
        <f t="shared" si="4"/>
        <v>0</v>
      </c>
      <c r="X47" s="851"/>
      <c r="Z47" s="345" t="s">
        <v>3228</v>
      </c>
      <c r="AA47" s="345"/>
      <c r="AB47" s="345"/>
      <c r="AC47" s="345"/>
    </row>
    <row r="48" spans="1:29" s="51" customFormat="1" ht="11.25" customHeight="1" thickBot="1">
      <c r="A48" s="890" t="s">
        <v>2450</v>
      </c>
      <c r="B48" s="891"/>
      <c r="C48" s="891"/>
      <c r="D48" s="891"/>
      <c r="E48" s="892"/>
      <c r="F48" s="332"/>
      <c r="G48" s="333"/>
      <c r="H48" s="334"/>
      <c r="I48" s="917">
        <f>I118</f>
        <v>0</v>
      </c>
      <c r="J48" s="918"/>
      <c r="K48" s="334"/>
      <c r="L48" s="906">
        <f>L118</f>
        <v>0</v>
      </c>
      <c r="M48" s="916"/>
      <c r="N48" s="876">
        <f t="shared" si="1"/>
        <v>0</v>
      </c>
      <c r="O48" s="877"/>
      <c r="P48" s="342"/>
      <c r="Q48" s="334"/>
      <c r="R48" s="906">
        <f>R118</f>
        <v>0</v>
      </c>
      <c r="S48" s="906"/>
      <c r="T48" s="334"/>
      <c r="U48" s="906">
        <f>U118</f>
        <v>0</v>
      </c>
      <c r="V48" s="917"/>
      <c r="W48" s="850">
        <f t="shared" si="4"/>
        <v>0</v>
      </c>
      <c r="X48" s="851"/>
      <c r="Z48" s="345"/>
      <c r="AA48" s="345"/>
      <c r="AB48" s="345"/>
      <c r="AC48" s="345"/>
    </row>
    <row r="49" spans="1:29" s="51" customFormat="1" ht="12" customHeight="1" thickTop="1">
      <c r="A49" s="953" t="s">
        <v>2676</v>
      </c>
      <c r="B49" s="954"/>
      <c r="C49" s="954"/>
      <c r="D49" s="954"/>
      <c r="E49" s="955"/>
      <c r="F49" s="335"/>
      <c r="G49" s="336"/>
      <c r="H49" s="337"/>
      <c r="I49" s="883">
        <f>SUM(I27:I48)</f>
        <v>0</v>
      </c>
      <c r="J49" s="883"/>
      <c r="K49" s="341"/>
      <c r="L49" s="903">
        <f>SUM(L26:L48)</f>
        <v>0</v>
      </c>
      <c r="M49" s="847"/>
      <c r="N49" s="914">
        <f>SUM(N26:N48)</f>
        <v>0</v>
      </c>
      <c r="O49" s="915"/>
      <c r="P49" s="343"/>
      <c r="Q49" s="341"/>
      <c r="R49" s="883">
        <f>SUM(R26:R48)</f>
        <v>0</v>
      </c>
      <c r="S49" s="883"/>
      <c r="T49" s="341"/>
      <c r="U49" s="903">
        <f>SUM(U26:U48)</f>
        <v>0</v>
      </c>
      <c r="V49" s="904"/>
      <c r="W49" s="846">
        <f>SUM(W26:W48)</f>
        <v>0</v>
      </c>
      <c r="X49" s="847"/>
      <c r="Z49" s="345"/>
      <c r="AA49" s="345"/>
      <c r="AB49" s="345"/>
      <c r="AC49" s="345"/>
    </row>
    <row r="50" spans="1:29" s="61" customFormat="1" ht="12" customHeight="1" thickBot="1">
      <c r="A50" s="884" t="s">
        <v>1728</v>
      </c>
      <c r="B50" s="885"/>
      <c r="C50" s="885"/>
      <c r="D50" s="885"/>
      <c r="E50" s="886"/>
      <c r="F50" s="338"/>
      <c r="G50" s="339"/>
      <c r="H50" s="340"/>
      <c r="I50" s="869">
        <f>I49/(Input!$F$28*Input!$F$29)</f>
        <v>0</v>
      </c>
      <c r="J50" s="869"/>
      <c r="K50" s="340"/>
      <c r="L50" s="869">
        <f>L49/(Input!$F$28*Input!$F$29)</f>
        <v>0</v>
      </c>
      <c r="M50" s="849"/>
      <c r="N50" s="848">
        <f>N49/(Input!$F$28*Input!$F$29)</f>
        <v>0</v>
      </c>
      <c r="O50" s="849"/>
      <c r="P50" s="344"/>
      <c r="Q50" s="340"/>
      <c r="R50" s="869">
        <f>R49/(Input!$F$28*Input!$F$29)</f>
        <v>0</v>
      </c>
      <c r="S50" s="869"/>
      <c r="T50" s="340"/>
      <c r="U50" s="869">
        <f>U49/(Input!$F$28*Input!$F$29)</f>
        <v>0</v>
      </c>
      <c r="V50" s="881"/>
      <c r="W50" s="848">
        <f>W49/(Input!$F$28*Input!$F$29)</f>
        <v>0</v>
      </c>
      <c r="X50" s="849"/>
      <c r="Z50" s="355"/>
      <c r="AA50" s="355"/>
      <c r="AB50" s="355"/>
      <c r="AC50" s="355"/>
    </row>
    <row r="51" spans="1:24" ht="12.75" customHeight="1">
      <c r="A51" s="887" t="s">
        <v>2226</v>
      </c>
      <c r="B51" s="888"/>
      <c r="C51" s="888"/>
      <c r="D51" s="888"/>
      <c r="E51" s="888"/>
      <c r="F51" s="888"/>
      <c r="G51" s="889"/>
      <c r="H51" s="822" t="s">
        <v>1732</v>
      </c>
      <c r="I51" s="823"/>
      <c r="J51" s="823"/>
      <c r="K51" s="823"/>
      <c r="L51" s="823"/>
      <c r="M51" s="857">
        <f>M24</f>
        <v>44992</v>
      </c>
      <c r="N51" s="857"/>
      <c r="O51" s="858"/>
      <c r="P51" s="534" t="s">
        <v>1762</v>
      </c>
      <c r="Q51" s="854" t="s">
        <v>1761</v>
      </c>
      <c r="R51" s="854"/>
      <c r="S51" s="852">
        <f>S24</f>
        <v>39887</v>
      </c>
      <c r="T51" s="852"/>
      <c r="U51" s="845" t="s">
        <v>1760</v>
      </c>
      <c r="V51" s="845"/>
      <c r="W51" s="852">
        <f>W24</f>
        <v>39948</v>
      </c>
      <c r="X51" s="853"/>
    </row>
    <row r="52" spans="1:24" ht="13.5" thickBot="1">
      <c r="A52" s="913" t="s">
        <v>1725</v>
      </c>
      <c r="B52" s="836"/>
      <c r="C52" s="836"/>
      <c r="D52" s="836"/>
      <c r="E52" s="859"/>
      <c r="F52" s="132" t="s">
        <v>1729</v>
      </c>
      <c r="G52" s="133" t="s">
        <v>1726</v>
      </c>
      <c r="H52" s="835" t="s">
        <v>1001</v>
      </c>
      <c r="I52" s="836"/>
      <c r="J52" s="859"/>
      <c r="K52" s="835" t="s">
        <v>1000</v>
      </c>
      <c r="L52" s="836"/>
      <c r="M52" s="836"/>
      <c r="N52" s="855" t="s">
        <v>1730</v>
      </c>
      <c r="O52" s="856"/>
      <c r="P52" s="134" t="s">
        <v>1726</v>
      </c>
      <c r="Q52" s="835" t="s">
        <v>1001</v>
      </c>
      <c r="R52" s="836"/>
      <c r="S52" s="859"/>
      <c r="T52" s="835" t="s">
        <v>1000</v>
      </c>
      <c r="U52" s="836"/>
      <c r="V52" s="836"/>
      <c r="W52" s="855" t="s">
        <v>1730</v>
      </c>
      <c r="X52" s="957"/>
    </row>
    <row r="53" spans="1:26" ht="9.75">
      <c r="A53" s="824">
        <f>IF('Bridge Quantities'!$B$38&gt;0,'Bridge Quantities'!$B$3,0)</f>
        <v>0</v>
      </c>
      <c r="B53" s="825"/>
      <c r="C53" s="825"/>
      <c r="D53" s="825"/>
      <c r="E53" s="826"/>
      <c r="F53" s="131">
        <f>IF('Bridge Quantities'!$B$38&gt;0,'Bridge Quantities'!$B$4,0)</f>
        <v>0</v>
      </c>
      <c r="G53" s="285">
        <f>IF('Bridge Quantities'!B38&gt;0,'Bridge Quantities'!B5,0)</f>
        <v>0</v>
      </c>
      <c r="H53" s="286">
        <f>IF('Bridge Quantities'!$B$38&gt;0,'Bridge Quantities'!$B$6,0)</f>
        <v>0</v>
      </c>
      <c r="I53" s="827">
        <f aca="true" t="shared" si="8" ref="I53:I58">G53*H53</f>
        <v>0</v>
      </c>
      <c r="J53" s="828"/>
      <c r="K53" s="286">
        <f>IF('Bridge Quantities'!B38&gt;0,('Bridge Quantities'!B38-'Bridge Quantities'!B6),0)</f>
        <v>0</v>
      </c>
      <c r="L53" s="827">
        <f aca="true" t="shared" si="9" ref="L53:L64">G53*K53</f>
        <v>0</v>
      </c>
      <c r="M53" s="844"/>
      <c r="N53" s="840">
        <f>I53+L53</f>
        <v>0</v>
      </c>
      <c r="O53" s="841"/>
      <c r="P53" s="287"/>
      <c r="Q53" s="286">
        <f aca="true" t="shared" si="10" ref="Q53:Q58">H53</f>
        <v>0</v>
      </c>
      <c r="R53" s="827">
        <f>P53*Q53</f>
        <v>0</v>
      </c>
      <c r="S53" s="828"/>
      <c r="T53" s="286">
        <f aca="true" t="shared" si="11" ref="T53:T64">K53</f>
        <v>0</v>
      </c>
      <c r="U53" s="827">
        <f aca="true" t="shared" si="12" ref="U53:U64">P53*T53</f>
        <v>0</v>
      </c>
      <c r="V53" s="844"/>
      <c r="W53" s="840">
        <f>R53+U53</f>
        <v>0</v>
      </c>
      <c r="X53" s="841"/>
      <c r="Z53" s="345" t="s">
        <v>3225</v>
      </c>
    </row>
    <row r="54" spans="1:26" ht="9.75">
      <c r="A54" s="829">
        <f>IF('Bridge Quantities'!AO38&gt;0,'Bridge Quantities'!AO3,0)</f>
        <v>0</v>
      </c>
      <c r="B54" s="830"/>
      <c r="C54" s="830"/>
      <c r="D54" s="830"/>
      <c r="E54" s="831"/>
      <c r="F54" s="50">
        <f>IF('Bridge Quantities'!$AO$38&gt;0,'Bridge Quantities'!$AO$4,0)</f>
        <v>0</v>
      </c>
      <c r="G54" s="288">
        <f>IF('Bridge Quantities'!AO38&gt;0,'Bridge Quantities'!AO5,0)</f>
        <v>0</v>
      </c>
      <c r="H54" s="289">
        <f>IF('Bridge Quantities'!AO38&gt;0,'Bridge Quantities'!AO6,0)</f>
        <v>0</v>
      </c>
      <c r="I54" s="832">
        <f t="shared" si="8"/>
        <v>0</v>
      </c>
      <c r="J54" s="833"/>
      <c r="K54" s="289">
        <f>IF('Bridge Quantities'!AO38&gt;0,'Bridge Quantities'!AO38-'Bridge Quantities'!AO6,0)</f>
        <v>0</v>
      </c>
      <c r="L54" s="832">
        <f t="shared" si="9"/>
        <v>0</v>
      </c>
      <c r="M54" s="834"/>
      <c r="N54" s="837">
        <f aca="true" t="shared" si="13" ref="N54:N117">I54+L54</f>
        <v>0</v>
      </c>
      <c r="O54" s="838"/>
      <c r="P54" s="290"/>
      <c r="Q54" s="289">
        <f t="shared" si="10"/>
        <v>0</v>
      </c>
      <c r="R54" s="832">
        <f aca="true" t="shared" si="14" ref="R54:R117">P54*Q54</f>
        <v>0</v>
      </c>
      <c r="S54" s="833"/>
      <c r="T54" s="289">
        <f t="shared" si="11"/>
        <v>0</v>
      </c>
      <c r="U54" s="832">
        <f t="shared" si="12"/>
        <v>0</v>
      </c>
      <c r="V54" s="834"/>
      <c r="W54" s="837">
        <f aca="true" t="shared" si="15" ref="W54:W117">R54+U54</f>
        <v>0</v>
      </c>
      <c r="X54" s="838"/>
      <c r="Z54" s="345" t="s">
        <v>3227</v>
      </c>
    </row>
    <row r="55" spans="1:26" ht="9.75">
      <c r="A55" s="829">
        <f>IF('Bridge Quantities'!$I$38&gt;0,'Bridge Quantities'!$I$3,0)</f>
        <v>0</v>
      </c>
      <c r="B55" s="830"/>
      <c r="C55" s="830"/>
      <c r="D55" s="830"/>
      <c r="E55" s="831"/>
      <c r="F55" s="50">
        <f>IF('Bridge Quantities'!$I$38&gt;0,'Bridge Quantities'!$I$4,0)</f>
        <v>0</v>
      </c>
      <c r="G55" s="288">
        <f>IF('Bridge Quantities'!I38&gt;0,'Bridge Quantities'!I5,0)</f>
        <v>0</v>
      </c>
      <c r="H55" s="289">
        <f>IF('Bridge Quantities'!I38&gt;0,'Bridge Quantities'!I6,0)</f>
        <v>0</v>
      </c>
      <c r="I55" s="832">
        <f t="shared" si="8"/>
        <v>0</v>
      </c>
      <c r="J55" s="833"/>
      <c r="K55" s="289">
        <f>IF('Bridge Quantities'!I38&gt;0,'Bridge Quantities'!I38-'Bridge Quantities'!I6,0)</f>
        <v>0</v>
      </c>
      <c r="L55" s="832">
        <f t="shared" si="9"/>
        <v>0</v>
      </c>
      <c r="M55" s="834"/>
      <c r="N55" s="837">
        <f t="shared" si="13"/>
        <v>0</v>
      </c>
      <c r="O55" s="838"/>
      <c r="P55" s="290"/>
      <c r="Q55" s="289">
        <f t="shared" si="10"/>
        <v>0</v>
      </c>
      <c r="R55" s="832">
        <f t="shared" si="14"/>
        <v>0</v>
      </c>
      <c r="S55" s="833"/>
      <c r="T55" s="289">
        <f t="shared" si="11"/>
        <v>0</v>
      </c>
      <c r="U55" s="832">
        <f t="shared" si="12"/>
        <v>0</v>
      </c>
      <c r="V55" s="834"/>
      <c r="W55" s="837">
        <f t="shared" si="15"/>
        <v>0</v>
      </c>
      <c r="X55" s="838"/>
      <c r="Z55" s="345" t="s">
        <v>3141</v>
      </c>
    </row>
    <row r="56" spans="1:26" ht="9.75">
      <c r="A56" s="829">
        <f>IF('Bridge Quantities'!$J$38&gt;0,'Bridge Quantities'!$J$3,0)</f>
        <v>0</v>
      </c>
      <c r="B56" s="830"/>
      <c r="C56" s="830"/>
      <c r="D56" s="830"/>
      <c r="E56" s="831"/>
      <c r="F56" s="50">
        <f>IF('Bridge Quantities'!$J$38&gt;0,'Bridge Quantities'!$J$4,0)</f>
        <v>0</v>
      </c>
      <c r="G56" s="288">
        <f>IF('Bridge Quantities'!J38&gt;0,'Bridge Quantities'!J5,0)</f>
        <v>0</v>
      </c>
      <c r="H56" s="289">
        <f>IF('Bridge Quantities'!J38&gt;0,'Bridge Quantities'!J6,0)</f>
        <v>0</v>
      </c>
      <c r="I56" s="832">
        <f t="shared" si="8"/>
        <v>0</v>
      </c>
      <c r="J56" s="833"/>
      <c r="K56" s="289">
        <f>IF('Bridge Quantities'!J38&gt;0,'Bridge Quantities'!J38-'Bridge Quantities'!J6,0)</f>
        <v>0</v>
      </c>
      <c r="L56" s="832">
        <f t="shared" si="9"/>
        <v>0</v>
      </c>
      <c r="M56" s="834"/>
      <c r="N56" s="837">
        <f t="shared" si="13"/>
        <v>0</v>
      </c>
      <c r="O56" s="838"/>
      <c r="P56" s="287"/>
      <c r="Q56" s="289">
        <f t="shared" si="10"/>
        <v>0</v>
      </c>
      <c r="R56" s="832">
        <f t="shared" si="14"/>
        <v>0</v>
      </c>
      <c r="S56" s="833"/>
      <c r="T56" s="289">
        <f t="shared" si="11"/>
        <v>0</v>
      </c>
      <c r="U56" s="832">
        <f t="shared" si="12"/>
        <v>0</v>
      </c>
      <c r="V56" s="834"/>
      <c r="W56" s="837">
        <f t="shared" si="15"/>
        <v>0</v>
      </c>
      <c r="X56" s="838"/>
      <c r="Z56" s="345" t="s">
        <v>3142</v>
      </c>
    </row>
    <row r="57" spans="1:26" ht="9.75">
      <c r="A57" s="829">
        <f>IF('Bridge Quantities'!$K$38&gt;0,'Bridge Quantities'!$K$3,0)</f>
        <v>0</v>
      </c>
      <c r="B57" s="830"/>
      <c r="C57" s="830"/>
      <c r="D57" s="830"/>
      <c r="E57" s="831"/>
      <c r="F57" s="50">
        <f>IF('Bridge Quantities'!$K$38&gt;0,'Bridge Quantities'!$K$4,0)</f>
        <v>0</v>
      </c>
      <c r="G57" s="288">
        <f>IF('Bridge Quantities'!K38&gt;0,'Bridge Quantities'!K5,0)</f>
        <v>0</v>
      </c>
      <c r="H57" s="289">
        <f>IF('Bridge Quantities'!K38&gt;0,'Bridge Quantities'!K6,0)</f>
        <v>0</v>
      </c>
      <c r="I57" s="832">
        <f t="shared" si="8"/>
        <v>0</v>
      </c>
      <c r="J57" s="833"/>
      <c r="K57" s="289">
        <f>IF('Bridge Quantities'!K38&gt;0,'Bridge Quantities'!K38-'Bridge Quantities'!K6,0)</f>
        <v>0</v>
      </c>
      <c r="L57" s="832">
        <f t="shared" si="9"/>
        <v>0</v>
      </c>
      <c r="M57" s="834"/>
      <c r="N57" s="837">
        <f t="shared" si="13"/>
        <v>0</v>
      </c>
      <c r="O57" s="838"/>
      <c r="P57" s="290"/>
      <c r="Q57" s="289">
        <f t="shared" si="10"/>
        <v>0</v>
      </c>
      <c r="R57" s="832">
        <f t="shared" si="14"/>
        <v>0</v>
      </c>
      <c r="S57" s="833"/>
      <c r="T57" s="289">
        <f t="shared" si="11"/>
        <v>0</v>
      </c>
      <c r="U57" s="832">
        <f t="shared" si="12"/>
        <v>0</v>
      </c>
      <c r="V57" s="834"/>
      <c r="W57" s="837">
        <f t="shared" si="15"/>
        <v>0</v>
      </c>
      <c r="X57" s="838"/>
      <c r="Z57" s="345" t="s">
        <v>3143</v>
      </c>
    </row>
    <row r="58" spans="1:26" ht="9.75">
      <c r="A58" s="829">
        <f>IF('Bridge Quantities'!$L$38&gt;0,'Bridge Quantities'!$L$3,0)</f>
        <v>0</v>
      </c>
      <c r="B58" s="830"/>
      <c r="C58" s="830"/>
      <c r="D58" s="830"/>
      <c r="E58" s="831"/>
      <c r="F58" s="50">
        <f>IF('Bridge Quantities'!$L$38&gt;0,'Bridge Quantities'!$L$4,0)</f>
        <v>0</v>
      </c>
      <c r="G58" s="288">
        <f>IF('Bridge Quantities'!L38&gt;0,'Bridge Quantities'!L5,0)</f>
        <v>0</v>
      </c>
      <c r="H58" s="289">
        <f>IF('Bridge Quantities'!L38&gt;0,'Bridge Quantities'!L6,0)</f>
        <v>0</v>
      </c>
      <c r="I58" s="832">
        <f t="shared" si="8"/>
        <v>0</v>
      </c>
      <c r="J58" s="833"/>
      <c r="K58" s="289">
        <f>IF('Bridge Quantities'!L38&gt;0,'Bridge Quantities'!L38-'Bridge Quantities'!L6,0)</f>
        <v>0</v>
      </c>
      <c r="L58" s="832">
        <f t="shared" si="9"/>
        <v>0</v>
      </c>
      <c r="M58" s="834"/>
      <c r="N58" s="837">
        <f t="shared" si="13"/>
        <v>0</v>
      </c>
      <c r="O58" s="838"/>
      <c r="P58" s="290"/>
      <c r="Q58" s="289">
        <f t="shared" si="10"/>
        <v>0</v>
      </c>
      <c r="R58" s="832">
        <f t="shared" si="14"/>
        <v>0</v>
      </c>
      <c r="S58" s="833"/>
      <c r="T58" s="289">
        <f t="shared" si="11"/>
        <v>0</v>
      </c>
      <c r="U58" s="832">
        <f t="shared" si="12"/>
        <v>0</v>
      </c>
      <c r="V58" s="834"/>
      <c r="W58" s="837">
        <f t="shared" si="15"/>
        <v>0</v>
      </c>
      <c r="X58" s="838"/>
      <c r="Z58" s="345" t="s">
        <v>3144</v>
      </c>
    </row>
    <row r="59" spans="1:29" s="3" customFormat="1" ht="11.25" customHeight="1">
      <c r="A59" s="907">
        <f>IF('Bridge Quantities'!P38&gt;0,'Bridge Quantities'!P3,0)</f>
        <v>0</v>
      </c>
      <c r="B59" s="862"/>
      <c r="C59" s="862"/>
      <c r="D59" s="862"/>
      <c r="E59" s="908"/>
      <c r="F59" s="50">
        <f>IF('Bridge Quantities'!P38&gt;0,'Bridge Quantities'!P4,0)</f>
        <v>0</v>
      </c>
      <c r="G59" s="288">
        <f>IF('Bridge Quantities'!P38&gt;0,'Bridge Quantities'!P5,0)</f>
        <v>0</v>
      </c>
      <c r="H59" s="291"/>
      <c r="I59" s="842"/>
      <c r="J59" s="843"/>
      <c r="K59" s="289">
        <f>IF('Bridge Quantities'!P38&gt;0,'Bridge Quantities'!P38,0)</f>
        <v>0</v>
      </c>
      <c r="L59" s="832">
        <f>G59*K59</f>
        <v>0</v>
      </c>
      <c r="M59" s="834"/>
      <c r="N59" s="837">
        <f>I59+L59</f>
        <v>0</v>
      </c>
      <c r="O59" s="838"/>
      <c r="P59" s="290"/>
      <c r="Q59" s="291"/>
      <c r="R59" s="842"/>
      <c r="S59" s="843"/>
      <c r="T59" s="283">
        <f>K59</f>
        <v>0</v>
      </c>
      <c r="U59" s="873">
        <f>T59*P59</f>
        <v>0</v>
      </c>
      <c r="V59" s="871"/>
      <c r="W59" s="850">
        <f>R59+U59</f>
        <v>0</v>
      </c>
      <c r="X59" s="851"/>
      <c r="Z59" s="345" t="s">
        <v>3231</v>
      </c>
      <c r="AA59" s="345"/>
      <c r="AB59" s="345"/>
      <c r="AC59" s="345"/>
    </row>
    <row r="60" spans="1:26" ht="9.75">
      <c r="A60" s="829">
        <f>IF('Bridge Quantities'!Q38&gt;0,'Bridge Quantities'!Q3,0)</f>
        <v>0</v>
      </c>
      <c r="B60" s="830"/>
      <c r="C60" s="830"/>
      <c r="D60" s="830"/>
      <c r="E60" s="831"/>
      <c r="F60" s="50">
        <f>IF('Bridge Quantities'!$Q$38&gt;0,'Bridge Quantities'!$Q$4,0)</f>
        <v>0</v>
      </c>
      <c r="G60" s="288">
        <f>IF('Bridge Quantities'!Q38&gt;0,'Bridge Quantities'!Q5,0)</f>
        <v>0</v>
      </c>
      <c r="H60" s="289">
        <f>IF('Bridge Quantities'!Q38&gt;0,'Bridge Quantities'!Q6,0)</f>
        <v>0</v>
      </c>
      <c r="I60" s="832">
        <f>G60*H60</f>
        <v>0</v>
      </c>
      <c r="J60" s="833"/>
      <c r="K60" s="289">
        <f>IF('Bridge Quantities'!Q38&gt;0,'Bridge Quantities'!Q38-'Bridge Quantities'!Q6,0)</f>
        <v>0</v>
      </c>
      <c r="L60" s="832">
        <f t="shared" si="9"/>
        <v>0</v>
      </c>
      <c r="M60" s="834"/>
      <c r="N60" s="837">
        <f t="shared" si="13"/>
        <v>0</v>
      </c>
      <c r="O60" s="838"/>
      <c r="P60" s="290"/>
      <c r="Q60" s="289">
        <f>H60</f>
        <v>0</v>
      </c>
      <c r="R60" s="832">
        <f t="shared" si="14"/>
        <v>0</v>
      </c>
      <c r="S60" s="833"/>
      <c r="T60" s="289">
        <f t="shared" si="11"/>
        <v>0</v>
      </c>
      <c r="U60" s="832">
        <f t="shared" si="12"/>
        <v>0</v>
      </c>
      <c r="V60" s="834"/>
      <c r="W60" s="837">
        <f t="shared" si="15"/>
        <v>0</v>
      </c>
      <c r="X60" s="838"/>
      <c r="Z60" s="345" t="s">
        <v>3145</v>
      </c>
    </row>
    <row r="61" spans="1:26" ht="9.75">
      <c r="A61" s="829">
        <f>IF('Bridge Quantities'!R38&gt;0,'Bridge Quantities'!R3,0)</f>
        <v>0</v>
      </c>
      <c r="B61" s="830"/>
      <c r="C61" s="830"/>
      <c r="D61" s="830"/>
      <c r="E61" s="831"/>
      <c r="F61" s="50">
        <f>IF('Bridge Quantities'!$R$38&gt;0,'Bridge Quantities'!$R$4,0)</f>
        <v>0</v>
      </c>
      <c r="G61" s="288">
        <f>IF('Bridge Quantities'!R38&gt;0,'Bridge Quantities'!R5,0)</f>
        <v>0</v>
      </c>
      <c r="H61" s="289">
        <f>IF('Bridge Quantities'!R38&gt;0,'Bridge Quantities'!R6,0)</f>
        <v>0</v>
      </c>
      <c r="I61" s="832">
        <f>G61*H61</f>
        <v>0</v>
      </c>
      <c r="J61" s="833"/>
      <c r="K61" s="289">
        <f>IF('Bridge Quantities'!R38&gt;0,'Bridge Quantities'!R38-'Bridge Quantities'!R6,0)</f>
        <v>0</v>
      </c>
      <c r="L61" s="832">
        <f t="shared" si="9"/>
        <v>0</v>
      </c>
      <c r="M61" s="834"/>
      <c r="N61" s="837">
        <f t="shared" si="13"/>
        <v>0</v>
      </c>
      <c r="O61" s="838"/>
      <c r="P61" s="290"/>
      <c r="Q61" s="289">
        <f>H61</f>
        <v>0</v>
      </c>
      <c r="R61" s="832">
        <f t="shared" si="14"/>
        <v>0</v>
      </c>
      <c r="S61" s="833"/>
      <c r="T61" s="289">
        <f t="shared" si="11"/>
        <v>0</v>
      </c>
      <c r="U61" s="832">
        <f t="shared" si="12"/>
        <v>0</v>
      </c>
      <c r="V61" s="834"/>
      <c r="W61" s="837">
        <f t="shared" si="15"/>
        <v>0</v>
      </c>
      <c r="X61" s="838"/>
      <c r="Z61" s="345" t="s">
        <v>3232</v>
      </c>
    </row>
    <row r="62" spans="1:26" ht="9.75">
      <c r="A62" s="829">
        <f>IF(A32='Bridge Quantities'!E3,0,IF('Bridge Quantities'!E38&gt;0,'Bridge Quantities'!E3,0))</f>
        <v>0</v>
      </c>
      <c r="B62" s="830"/>
      <c r="C62" s="830"/>
      <c r="D62" s="830"/>
      <c r="E62" s="831"/>
      <c r="F62" s="50">
        <f>IF(A32='Bridge Quantities'!E3,0,IF('Bridge Quantities'!$E$38&gt;0,'Bridge Quantities'!$E$4,0))</f>
        <v>0</v>
      </c>
      <c r="G62" s="288">
        <f>IF(A32='Bridge Quantities'!E3,0,IF('Bridge Quantities'!E38&gt;0,'Bridge Quantities'!E5,0))</f>
        <v>0</v>
      </c>
      <c r="H62" s="291"/>
      <c r="I62" s="842"/>
      <c r="J62" s="843"/>
      <c r="K62" s="289">
        <f>IF(A32='Bridge Quantities'!E3,0,IF('Bridge Quantities'!E38&gt;0,'Bridge Quantities'!E38-'Bridge Quantities'!E6-IF(A62=A32,K32,0),0))</f>
        <v>0</v>
      </c>
      <c r="L62" s="832">
        <f t="shared" si="9"/>
        <v>0</v>
      </c>
      <c r="M62" s="839"/>
      <c r="N62" s="837">
        <f>I62+L62</f>
        <v>0</v>
      </c>
      <c r="O62" s="838"/>
      <c r="P62" s="287"/>
      <c r="Q62" s="291"/>
      <c r="R62" s="842"/>
      <c r="S62" s="843"/>
      <c r="T62" s="289">
        <f t="shared" si="11"/>
        <v>0</v>
      </c>
      <c r="U62" s="832">
        <f t="shared" si="12"/>
        <v>0</v>
      </c>
      <c r="V62" s="839"/>
      <c r="W62" s="837">
        <f>R62+U62</f>
        <v>0</v>
      </c>
      <c r="X62" s="838"/>
      <c r="Z62" s="345" t="s">
        <v>3140</v>
      </c>
    </row>
    <row r="63" spans="1:26" ht="9.75">
      <c r="A63" s="829">
        <f>IF('Bridge Quantities'!W38&gt;0,'Bridge Quantities'!W3,0)</f>
        <v>0</v>
      </c>
      <c r="B63" s="830"/>
      <c r="C63" s="830"/>
      <c r="D63" s="830"/>
      <c r="E63" s="831"/>
      <c r="F63" s="50">
        <f>IF('Bridge Quantities'!$W$38&gt;0,'Bridge Quantities'!$W$4,0)</f>
        <v>0</v>
      </c>
      <c r="G63" s="288">
        <f>IF('Bridge Quantities'!W38&gt;0,'Bridge Quantities'!W5,0)</f>
        <v>0</v>
      </c>
      <c r="H63" s="291"/>
      <c r="I63" s="842"/>
      <c r="J63" s="843"/>
      <c r="K63" s="289">
        <f>IF('Bridge Quantities'!W38&gt;0,'Bridge Quantities'!W38-'Bridge Quantities'!W6-IF(A63=A35,K35,0),0)</f>
        <v>0</v>
      </c>
      <c r="L63" s="832">
        <f t="shared" si="9"/>
        <v>0</v>
      </c>
      <c r="M63" s="839"/>
      <c r="N63" s="837">
        <f t="shared" si="13"/>
        <v>0</v>
      </c>
      <c r="O63" s="838"/>
      <c r="P63" s="287"/>
      <c r="Q63" s="291"/>
      <c r="R63" s="842"/>
      <c r="S63" s="843"/>
      <c r="T63" s="289">
        <f t="shared" si="11"/>
        <v>0</v>
      </c>
      <c r="U63" s="832">
        <f t="shared" si="12"/>
        <v>0</v>
      </c>
      <c r="V63" s="839"/>
      <c r="W63" s="837">
        <f t="shared" si="15"/>
        <v>0</v>
      </c>
      <c r="X63" s="838"/>
      <c r="Z63" s="345" t="s">
        <v>3238</v>
      </c>
    </row>
    <row r="64" spans="1:26" ht="9.75">
      <c r="A64" s="829">
        <f>IF('Bridge Quantities'!AB38&gt;0,'Bridge Quantities'!AB3,0)</f>
        <v>0</v>
      </c>
      <c r="B64" s="830"/>
      <c r="C64" s="830"/>
      <c r="D64" s="830"/>
      <c r="E64" s="831"/>
      <c r="F64" s="50">
        <f>IF('Bridge Quantities'!$AB$38&gt;0,'Bridge Quantities'!$AB$4,0)</f>
        <v>0</v>
      </c>
      <c r="G64" s="288">
        <f>IF('Bridge Quantities'!AB38&gt;0,'Bridge Quantities'!AB5,0)</f>
        <v>0</v>
      </c>
      <c r="H64" s="289">
        <f>IF('Bridge Quantities'!AB38&gt;0,'Bridge Quantities'!AB6-IF(A64=A27,H27,0),0)</f>
        <v>0</v>
      </c>
      <c r="I64" s="832">
        <f aca="true" t="shared" si="16" ref="I64:I74">G64*H64</f>
        <v>0</v>
      </c>
      <c r="J64" s="833"/>
      <c r="K64" s="289">
        <f>IF('Bridge Quantities'!AB38&gt;0,'Bridge Quantities'!AB38-'Bridge Quantities'!AB6-IF(A64=A27,K27,0),0)</f>
        <v>0</v>
      </c>
      <c r="L64" s="832">
        <f t="shared" si="9"/>
        <v>0</v>
      </c>
      <c r="M64" s="834"/>
      <c r="N64" s="837">
        <f t="shared" si="13"/>
        <v>0</v>
      </c>
      <c r="O64" s="838"/>
      <c r="P64" s="290"/>
      <c r="Q64" s="289">
        <f aca="true" t="shared" si="17" ref="Q64:Q73">H64</f>
        <v>0</v>
      </c>
      <c r="R64" s="832">
        <f t="shared" si="14"/>
        <v>0</v>
      </c>
      <c r="S64" s="833"/>
      <c r="T64" s="289">
        <f t="shared" si="11"/>
        <v>0</v>
      </c>
      <c r="U64" s="832">
        <f t="shared" si="12"/>
        <v>0</v>
      </c>
      <c r="V64" s="834"/>
      <c r="W64" s="837">
        <f t="shared" si="15"/>
        <v>0</v>
      </c>
      <c r="X64" s="838"/>
      <c r="Z64" s="345" t="s">
        <v>3241</v>
      </c>
    </row>
    <row r="65" spans="1:26" ht="9.75">
      <c r="A65" s="829">
        <f>IF('Bridge Quantities'!AI38&gt;0,'Bridge Quantities'!AI3,0)</f>
        <v>0</v>
      </c>
      <c r="B65" s="830"/>
      <c r="C65" s="830"/>
      <c r="D65" s="830"/>
      <c r="E65" s="831"/>
      <c r="F65" s="50">
        <f>IF('Bridge Quantities'!$AI$38&gt;0,'Bridge Quantities'!$AI$4,0)</f>
        <v>0</v>
      </c>
      <c r="G65" s="288">
        <f>IF('Bridge Quantities'!AI38&gt;0,'Bridge Quantities'!AI5,0)</f>
        <v>0</v>
      </c>
      <c r="H65" s="289">
        <f>IF('Bridge Quantities'!AI38&gt;0,'Bridge Quantities'!AI6,0)</f>
        <v>0</v>
      </c>
      <c r="I65" s="832">
        <f t="shared" si="16"/>
        <v>0</v>
      </c>
      <c r="J65" s="833"/>
      <c r="K65" s="291"/>
      <c r="L65" s="842"/>
      <c r="M65" s="956"/>
      <c r="N65" s="837">
        <f t="shared" si="13"/>
        <v>0</v>
      </c>
      <c r="O65" s="838"/>
      <c r="P65" s="290"/>
      <c r="Q65" s="289">
        <f t="shared" si="17"/>
        <v>0</v>
      </c>
      <c r="R65" s="832">
        <f t="shared" si="14"/>
        <v>0</v>
      </c>
      <c r="S65" s="833"/>
      <c r="T65" s="291"/>
      <c r="U65" s="842"/>
      <c r="V65" s="956"/>
      <c r="W65" s="837">
        <f t="shared" si="15"/>
        <v>0</v>
      </c>
      <c r="X65" s="838"/>
      <c r="Z65" s="345" t="s">
        <v>3148</v>
      </c>
    </row>
    <row r="66" spans="1:26" ht="9.75">
      <c r="A66" s="829">
        <f>IF('Bridge Quantities'!AJ38&gt;0,'Bridge Quantities'!AJ3,0)</f>
        <v>0</v>
      </c>
      <c r="B66" s="830"/>
      <c r="C66" s="830"/>
      <c r="D66" s="830"/>
      <c r="E66" s="831"/>
      <c r="F66" s="50">
        <f>IF('Bridge Quantities'!$AJ$38&gt;0,'Bridge Quantities'!$AJ$4,0)</f>
        <v>0</v>
      </c>
      <c r="G66" s="288">
        <f>IF('Bridge Quantities'!AJ38&gt;0,'Bridge Quantities'!AJ5,0)</f>
        <v>0</v>
      </c>
      <c r="H66" s="289">
        <f>IF('Bridge Quantities'!AJ38&gt;0,'Bridge Quantities'!AJ6,0)</f>
        <v>0</v>
      </c>
      <c r="I66" s="832">
        <f t="shared" si="16"/>
        <v>0</v>
      </c>
      <c r="J66" s="833"/>
      <c r="K66" s="291"/>
      <c r="L66" s="842"/>
      <c r="M66" s="956"/>
      <c r="N66" s="837">
        <f t="shared" si="13"/>
        <v>0</v>
      </c>
      <c r="O66" s="838"/>
      <c r="P66" s="287"/>
      <c r="Q66" s="289">
        <f t="shared" si="17"/>
        <v>0</v>
      </c>
      <c r="R66" s="832">
        <f t="shared" si="14"/>
        <v>0</v>
      </c>
      <c r="S66" s="833"/>
      <c r="T66" s="291"/>
      <c r="U66" s="842"/>
      <c r="V66" s="956"/>
      <c r="W66" s="837">
        <f t="shared" si="15"/>
        <v>0</v>
      </c>
      <c r="X66" s="838"/>
      <c r="Z66" s="345" t="s">
        <v>3149</v>
      </c>
    </row>
    <row r="67" spans="1:26" ht="9.75">
      <c r="A67" s="829">
        <f>IF('Bridge Quantities'!AK38&gt;0,'Bridge Quantities'!AK3,0)</f>
        <v>0</v>
      </c>
      <c r="B67" s="830"/>
      <c r="C67" s="830"/>
      <c r="D67" s="830"/>
      <c r="E67" s="831"/>
      <c r="F67" s="50">
        <f>IF('Bridge Quantities'!$AK$38&gt;0,'Bridge Quantities'!$AK$4,0)</f>
        <v>0</v>
      </c>
      <c r="G67" s="288">
        <f>IF('Bridge Quantities'!AK38&gt;0,'Bridge Quantities'!AK5,0)</f>
        <v>0</v>
      </c>
      <c r="H67" s="289">
        <f>IF('Bridge Quantities'!AK38&gt;0,'Bridge Quantities'!AK6,0)</f>
        <v>0</v>
      </c>
      <c r="I67" s="832">
        <f t="shared" si="16"/>
        <v>0</v>
      </c>
      <c r="J67" s="833"/>
      <c r="K67" s="291"/>
      <c r="L67" s="842"/>
      <c r="M67" s="956"/>
      <c r="N67" s="837">
        <f t="shared" si="13"/>
        <v>0</v>
      </c>
      <c r="O67" s="838"/>
      <c r="P67" s="290"/>
      <c r="Q67" s="289">
        <f t="shared" si="17"/>
        <v>0</v>
      </c>
      <c r="R67" s="832">
        <f t="shared" si="14"/>
        <v>0</v>
      </c>
      <c r="S67" s="833"/>
      <c r="T67" s="291"/>
      <c r="U67" s="842"/>
      <c r="V67" s="956"/>
      <c r="W67" s="837">
        <f t="shared" si="15"/>
        <v>0</v>
      </c>
      <c r="X67" s="838"/>
      <c r="Z67" s="345" t="s">
        <v>3150</v>
      </c>
    </row>
    <row r="68" spans="1:26" ht="9.75">
      <c r="A68" s="829">
        <f>IF('Bridge Quantities'!AL38&gt;0,'Bridge Quantities'!AL3,0)</f>
        <v>0</v>
      </c>
      <c r="B68" s="830"/>
      <c r="C68" s="830"/>
      <c r="D68" s="830"/>
      <c r="E68" s="831"/>
      <c r="F68" s="50">
        <f>IF('Bridge Quantities'!$AL$38&gt;0,'Bridge Quantities'!$AL$4,0)</f>
        <v>0</v>
      </c>
      <c r="G68" s="288">
        <f>IF('Bridge Quantities'!AL38&gt;0,'Bridge Quantities'!AL5,0)</f>
        <v>0</v>
      </c>
      <c r="H68" s="289">
        <f>IF('Bridge Quantities'!AL38&gt;0,'Bridge Quantities'!AL6,0)</f>
        <v>0</v>
      </c>
      <c r="I68" s="832">
        <f t="shared" si="16"/>
        <v>0</v>
      </c>
      <c r="J68" s="833"/>
      <c r="K68" s="291"/>
      <c r="L68" s="842"/>
      <c r="M68" s="956"/>
      <c r="N68" s="837">
        <f t="shared" si="13"/>
        <v>0</v>
      </c>
      <c r="O68" s="838"/>
      <c r="P68" s="290"/>
      <c r="Q68" s="289">
        <f t="shared" si="17"/>
        <v>0</v>
      </c>
      <c r="R68" s="832">
        <f t="shared" si="14"/>
        <v>0</v>
      </c>
      <c r="S68" s="833"/>
      <c r="T68" s="291"/>
      <c r="U68" s="842"/>
      <c r="V68" s="956"/>
      <c r="W68" s="837">
        <f t="shared" si="15"/>
        <v>0</v>
      </c>
      <c r="X68" s="838"/>
      <c r="Z68" s="345" t="s">
        <v>3151</v>
      </c>
    </row>
    <row r="69" spans="1:26" ht="9.75">
      <c r="A69" s="829">
        <f>IF('Bridge Quantities'!AM38&gt;0,'Bridge Quantities'!AM3,0)</f>
        <v>0</v>
      </c>
      <c r="B69" s="830"/>
      <c r="C69" s="830"/>
      <c r="D69" s="830"/>
      <c r="E69" s="831"/>
      <c r="F69" s="50">
        <f>IF('Bridge Quantities'!$AM$38&gt;0,'Bridge Quantities'!$AM$4,0)</f>
        <v>0</v>
      </c>
      <c r="G69" s="288">
        <f>IF('Bridge Quantities'!AM38&gt;0,'Bridge Quantities'!AM5,0)</f>
        <v>0</v>
      </c>
      <c r="H69" s="289">
        <f>IF('Bridge Quantities'!AM38&gt;0,'Bridge Quantities'!AM6,0)</f>
        <v>0</v>
      </c>
      <c r="I69" s="832">
        <f t="shared" si="16"/>
        <v>0</v>
      </c>
      <c r="J69" s="833"/>
      <c r="K69" s="291"/>
      <c r="L69" s="842"/>
      <c r="M69" s="956"/>
      <c r="N69" s="837">
        <f t="shared" si="13"/>
        <v>0</v>
      </c>
      <c r="O69" s="838"/>
      <c r="P69" s="287"/>
      <c r="Q69" s="289">
        <f t="shared" si="17"/>
        <v>0</v>
      </c>
      <c r="R69" s="832">
        <f t="shared" si="14"/>
        <v>0</v>
      </c>
      <c r="S69" s="833"/>
      <c r="T69" s="291"/>
      <c r="U69" s="842"/>
      <c r="V69" s="956"/>
      <c r="W69" s="837">
        <f t="shared" si="15"/>
        <v>0</v>
      </c>
      <c r="X69" s="838"/>
      <c r="Z69" s="345" t="s">
        <v>3152</v>
      </c>
    </row>
    <row r="70" spans="1:26" ht="9.75">
      <c r="A70" s="829">
        <f>IF('Bridge Quantities'!AQ38&gt;0,'Bridge Quantities'!AQ3,0)</f>
        <v>0</v>
      </c>
      <c r="B70" s="830"/>
      <c r="C70" s="830"/>
      <c r="D70" s="830"/>
      <c r="E70" s="831"/>
      <c r="F70" s="50">
        <f>IF('Bridge Quantities'!$AQ$38&gt;0,'Bridge Quantities'!$AQ$4,0)</f>
        <v>0</v>
      </c>
      <c r="G70" s="288">
        <f>IF('Bridge Quantities'!AQ38&gt;0,'Bridge Quantities'!AQ5,0)</f>
        <v>0</v>
      </c>
      <c r="H70" s="289">
        <f>IF('Bridge Quantities'!AQ38&gt;0,'Bridge Quantities'!AQ6,0)</f>
        <v>0</v>
      </c>
      <c r="I70" s="832">
        <f t="shared" si="16"/>
        <v>0</v>
      </c>
      <c r="J70" s="833"/>
      <c r="K70" s="305">
        <f>IF('Bridge Quantities'!AQ38&gt;0,'Bridge Quantities'!AQ38-'Bridge Quantities'!AQ6,0)</f>
        <v>0</v>
      </c>
      <c r="L70" s="958">
        <f>G70*K70</f>
        <v>0</v>
      </c>
      <c r="M70" s="959"/>
      <c r="N70" s="837">
        <f t="shared" si="13"/>
        <v>0</v>
      </c>
      <c r="O70" s="838"/>
      <c r="P70" s="290"/>
      <c r="Q70" s="289">
        <f t="shared" si="17"/>
        <v>0</v>
      </c>
      <c r="R70" s="832">
        <f t="shared" si="14"/>
        <v>0</v>
      </c>
      <c r="S70" s="833"/>
      <c r="T70" s="289">
        <f>K70</f>
        <v>0</v>
      </c>
      <c r="U70" s="832">
        <f>P70*T70</f>
        <v>0</v>
      </c>
      <c r="V70" s="834"/>
      <c r="W70" s="837">
        <f t="shared" si="15"/>
        <v>0</v>
      </c>
      <c r="X70" s="838"/>
      <c r="Z70" s="345" t="s">
        <v>213</v>
      </c>
    </row>
    <row r="71" spans="1:26" ht="9.75">
      <c r="A71" s="829">
        <f>IF('Bridge Quantities'!AP38&gt;0,'Bridge Quantities'!AP3,0)</f>
        <v>0</v>
      </c>
      <c r="B71" s="830"/>
      <c r="C71" s="830"/>
      <c r="D71" s="830"/>
      <c r="E71" s="831"/>
      <c r="F71" s="50">
        <f>IF('Bridge Quantities'!$AP$38&gt;0,'Bridge Quantities'!$AP$4,0)</f>
        <v>0</v>
      </c>
      <c r="G71" s="288">
        <f>IF('Bridge Quantities'!AP38&gt;0,'Bridge Quantities'!AP5,0)</f>
        <v>0</v>
      </c>
      <c r="H71" s="289">
        <f>IF('Bridge Quantities'!AP38&gt;0,'Bridge Quantities'!AP6,0)</f>
        <v>0</v>
      </c>
      <c r="I71" s="832">
        <f t="shared" si="16"/>
        <v>0</v>
      </c>
      <c r="J71" s="833"/>
      <c r="K71" s="289">
        <f>IF('Bridge Quantities'!AP38&gt;0,'Bridge Quantities'!AP38-'Bridge Quantities'!AP6,0)</f>
        <v>0</v>
      </c>
      <c r="L71" s="832">
        <f>G71*K71</f>
        <v>0</v>
      </c>
      <c r="M71" s="834"/>
      <c r="N71" s="837">
        <f t="shared" si="13"/>
        <v>0</v>
      </c>
      <c r="O71" s="838"/>
      <c r="P71" s="290"/>
      <c r="Q71" s="289">
        <f t="shared" si="17"/>
        <v>0</v>
      </c>
      <c r="R71" s="832">
        <f t="shared" si="14"/>
        <v>0</v>
      </c>
      <c r="S71" s="833"/>
      <c r="T71" s="289">
        <f>K71</f>
        <v>0</v>
      </c>
      <c r="U71" s="832">
        <f>P71*T71</f>
        <v>0</v>
      </c>
      <c r="V71" s="834"/>
      <c r="W71" s="837">
        <f t="shared" si="15"/>
        <v>0</v>
      </c>
      <c r="X71" s="838"/>
      <c r="Z71" s="345" t="s">
        <v>1361</v>
      </c>
    </row>
    <row r="72" spans="1:26" ht="9.75">
      <c r="A72" s="829">
        <f>IF(A42='Bridge Quantities'!H3,0,IF('Bridge Quantities'!H38&gt;0,'Bridge Quantities'!H3,0))</f>
        <v>0</v>
      </c>
      <c r="B72" s="830"/>
      <c r="C72" s="830"/>
      <c r="D72" s="830"/>
      <c r="E72" s="831"/>
      <c r="F72" s="50">
        <f>IF(A42='Bridge Quantities'!H3,0,IF('Bridge Quantities'!$H$38&gt;0,'Bridge Quantities'!$H$4,0))</f>
        <v>0</v>
      </c>
      <c r="G72" s="288">
        <f>IF(A42='Bridge Quantities'!H3,0,IF('Bridge Quantities'!H38&gt;0,'Bridge Quantities'!H5,0))</f>
        <v>0</v>
      </c>
      <c r="H72" s="289">
        <f>IF(A42='Bridge Quantities'!H3,0,IF('Bridge Quantities'!H38&gt;0,'Bridge Quantities'!H6-IF(A72=A42,H42,0),0))</f>
        <v>0</v>
      </c>
      <c r="I72" s="832">
        <f t="shared" si="16"/>
        <v>0</v>
      </c>
      <c r="J72" s="833"/>
      <c r="K72" s="289">
        <f>IF('Bridge Quantities'!H38&gt;0,'Bridge Quantities'!H38-'Bridge Quantities'!H6,0)</f>
        <v>0</v>
      </c>
      <c r="L72" s="832">
        <f>G72*K72</f>
        <v>0</v>
      </c>
      <c r="M72" s="834"/>
      <c r="N72" s="837">
        <f t="shared" si="13"/>
        <v>0</v>
      </c>
      <c r="O72" s="838"/>
      <c r="P72" s="287"/>
      <c r="Q72" s="289">
        <f t="shared" si="17"/>
        <v>0</v>
      </c>
      <c r="R72" s="832">
        <f t="shared" si="14"/>
        <v>0</v>
      </c>
      <c r="S72" s="833"/>
      <c r="T72" s="289">
        <f>K72</f>
        <v>0</v>
      </c>
      <c r="U72" s="832">
        <f>P72*T72</f>
        <v>0</v>
      </c>
      <c r="V72" s="834"/>
      <c r="W72" s="837">
        <f t="shared" si="15"/>
        <v>0</v>
      </c>
      <c r="X72" s="838"/>
      <c r="Z72" s="345" t="s">
        <v>559</v>
      </c>
    </row>
    <row r="73" spans="1:26" ht="9.75">
      <c r="A73" s="829">
        <f>IF('Bridge Quantities'!AR38&gt;0,'Bridge Quantities'!AR3,0)</f>
        <v>0</v>
      </c>
      <c r="B73" s="830"/>
      <c r="C73" s="830"/>
      <c r="D73" s="830"/>
      <c r="E73" s="831"/>
      <c r="F73" s="50">
        <f>IF('Bridge Quantities'!$AR$38&gt;0,'Bridge Quantities'!$AR$4,0)</f>
        <v>0</v>
      </c>
      <c r="G73" s="288">
        <f>IF('Bridge Quantities'!AR38&gt;0,'Bridge Quantities'!AR5,0)</f>
        <v>0</v>
      </c>
      <c r="H73" s="289">
        <f>IF('Bridge Quantities'!AR38&gt;0,'Bridge Quantities'!AR6,0)</f>
        <v>0</v>
      </c>
      <c r="I73" s="832">
        <f t="shared" si="16"/>
        <v>0</v>
      </c>
      <c r="J73" s="833"/>
      <c r="K73" s="289">
        <f>IF('Bridge Quantities'!AR38&gt;0,'Bridge Quantities'!AR38-'Bridge Quantities'!AR6,0)</f>
        <v>0</v>
      </c>
      <c r="L73" s="832">
        <f>G73*K73</f>
        <v>0</v>
      </c>
      <c r="M73" s="834"/>
      <c r="N73" s="837">
        <f t="shared" si="13"/>
        <v>0</v>
      </c>
      <c r="O73" s="838"/>
      <c r="P73" s="290"/>
      <c r="Q73" s="289">
        <f t="shared" si="17"/>
        <v>0</v>
      </c>
      <c r="R73" s="832">
        <f t="shared" si="14"/>
        <v>0</v>
      </c>
      <c r="S73" s="833"/>
      <c r="T73" s="289">
        <f>K73</f>
        <v>0</v>
      </c>
      <c r="U73" s="832">
        <f>P73*T73</f>
        <v>0</v>
      </c>
      <c r="V73" s="834"/>
      <c r="W73" s="837">
        <f t="shared" si="15"/>
        <v>0</v>
      </c>
      <c r="X73" s="838"/>
      <c r="Z73" s="345" t="s">
        <v>1359</v>
      </c>
    </row>
    <row r="74" spans="1:26" ht="9.75">
      <c r="A74" s="829">
        <f>IF('Bridge Quantities'!AS38&gt;0,'Bridge Quantities'!AS3,0)</f>
        <v>0</v>
      </c>
      <c r="B74" s="830"/>
      <c r="C74" s="830"/>
      <c r="D74" s="830"/>
      <c r="E74" s="831"/>
      <c r="F74" s="50">
        <f>IF('Bridge Quantities'!$AS$38&gt;0,'Bridge Quantities'!$AS$4,0)</f>
        <v>0</v>
      </c>
      <c r="G74" s="288">
        <f>IF('Bridge Quantities'!AS38&gt;0,'Bridge Quantities'!AS5,0)</f>
        <v>0</v>
      </c>
      <c r="H74" s="289">
        <f>IF('Bridge Quantities'!AS38&gt;0,'Bridge Quantities'!AS6,0)</f>
        <v>0</v>
      </c>
      <c r="I74" s="832">
        <f t="shared" si="16"/>
        <v>0</v>
      </c>
      <c r="J74" s="833"/>
      <c r="K74" s="289">
        <f>IF('Bridge Quantities'!AS38&gt;0,'Bridge Quantities'!AS38-'Bridge Quantities'!AS6,0)</f>
        <v>0</v>
      </c>
      <c r="L74" s="832">
        <f>G74*K74</f>
        <v>0</v>
      </c>
      <c r="M74" s="834"/>
      <c r="N74" s="837">
        <f t="shared" si="13"/>
        <v>0</v>
      </c>
      <c r="O74" s="838"/>
      <c r="P74" s="290"/>
      <c r="Q74" s="289">
        <f aca="true" t="shared" si="18" ref="Q74:Q101">H74</f>
        <v>0</v>
      </c>
      <c r="R74" s="832">
        <f aca="true" t="shared" si="19" ref="R74:R101">P74*Q74</f>
        <v>0</v>
      </c>
      <c r="S74" s="833"/>
      <c r="T74" s="289">
        <f>K74</f>
        <v>0</v>
      </c>
      <c r="U74" s="832">
        <f>P74*T74</f>
        <v>0</v>
      </c>
      <c r="V74" s="834"/>
      <c r="W74" s="837">
        <f t="shared" si="15"/>
        <v>0</v>
      </c>
      <c r="X74" s="838"/>
      <c r="Z74" s="345" t="s">
        <v>1360</v>
      </c>
    </row>
    <row r="75" spans="1:26" ht="9.75">
      <c r="A75" s="829">
        <f>IF('TC 66-101 (Bridge Est.)'!$A$40='Bridge Quantities'!AU3,0,IF('Bridge Quantities'!AU38&gt;0,'Bridge Quantities'!AU3,0))</f>
        <v>0</v>
      </c>
      <c r="B75" s="830"/>
      <c r="C75" s="830"/>
      <c r="D75" s="830"/>
      <c r="E75" s="831"/>
      <c r="F75" s="360">
        <f>IF('TC 66-101 (Bridge Est.)'!$A$40='Bridge Quantities'!AU3,0,IF('Bridge Quantities'!AU38&gt;0,'Bridge Quantities'!AU4,0))</f>
        <v>0</v>
      </c>
      <c r="G75" s="361">
        <f>IF('TC 66-101 (Bridge Est.)'!$A$40='Bridge Quantities'!AU3,0,IF('Bridge Quantities'!AU38&gt;0,'Bridge Quantities'!AU5,0))</f>
        <v>0</v>
      </c>
      <c r="H75" s="362">
        <f>IF('TC 66-101 (Bridge Est.)'!$A$40='Bridge Quantities'!AU3,0,IF('Bridge Quantities'!AU38&gt;0,'Bridge Quantities'!AU6,0))</f>
        <v>0</v>
      </c>
      <c r="I75" s="832">
        <f aca="true" t="shared" si="20" ref="I75:I97">G75*H75</f>
        <v>0</v>
      </c>
      <c r="J75" s="833"/>
      <c r="K75" s="291"/>
      <c r="L75" s="842"/>
      <c r="M75" s="956"/>
      <c r="N75" s="837">
        <f t="shared" si="13"/>
        <v>0</v>
      </c>
      <c r="O75" s="838"/>
      <c r="P75" s="287"/>
      <c r="Q75" s="289">
        <f t="shared" si="18"/>
        <v>0</v>
      </c>
      <c r="R75" s="832">
        <f t="shared" si="19"/>
        <v>0</v>
      </c>
      <c r="S75" s="833"/>
      <c r="T75" s="291"/>
      <c r="U75" s="842"/>
      <c r="V75" s="956"/>
      <c r="W75" s="837">
        <f t="shared" si="15"/>
        <v>0</v>
      </c>
      <c r="X75" s="838"/>
      <c r="Z75" s="345" t="s">
        <v>215</v>
      </c>
    </row>
    <row r="76" spans="1:26" ht="9.75">
      <c r="A76" s="829">
        <f>IF('TC 66-101 (Bridge Est.)'!$A$40='Bridge Quantities'!AV3,0,IF('Bridge Quantities'!AV38&gt;0,'Bridge Quantities'!AV3,0))</f>
        <v>0</v>
      </c>
      <c r="B76" s="830"/>
      <c r="C76" s="830"/>
      <c r="D76" s="830"/>
      <c r="E76" s="831"/>
      <c r="F76" s="360">
        <f>IF('TC 66-101 (Bridge Est.)'!$A$40='Bridge Quantities'!AV3,0,IF('Bridge Quantities'!AV38&gt;0,'Bridge Quantities'!AV4,0))</f>
        <v>0</v>
      </c>
      <c r="G76" s="361">
        <f>IF('TC 66-101 (Bridge Est.)'!$A$40='Bridge Quantities'!AV3,0,IF('Bridge Quantities'!AV38&gt;0,'Bridge Quantities'!AV5,0))</f>
        <v>0</v>
      </c>
      <c r="H76" s="362">
        <f>IF('TC 66-101 (Bridge Est.)'!$A$40='Bridge Quantities'!AV3,0,IF('Bridge Quantities'!AV38&gt;0,'Bridge Quantities'!AV6,0))</f>
        <v>0</v>
      </c>
      <c r="I76" s="832">
        <f t="shared" si="20"/>
        <v>0</v>
      </c>
      <c r="J76" s="833"/>
      <c r="K76" s="291"/>
      <c r="L76" s="842"/>
      <c r="M76" s="956"/>
      <c r="N76" s="837">
        <f t="shared" si="13"/>
        <v>0</v>
      </c>
      <c r="O76" s="838"/>
      <c r="P76" s="290"/>
      <c r="Q76" s="289">
        <f t="shared" si="18"/>
        <v>0</v>
      </c>
      <c r="R76" s="832">
        <f t="shared" si="19"/>
        <v>0</v>
      </c>
      <c r="S76" s="833"/>
      <c r="T76" s="291"/>
      <c r="U76" s="842"/>
      <c r="V76" s="956"/>
      <c r="W76" s="837">
        <f t="shared" si="15"/>
        <v>0</v>
      </c>
      <c r="X76" s="838"/>
      <c r="Z76" s="345" t="s">
        <v>216</v>
      </c>
    </row>
    <row r="77" spans="1:26" ht="9.75">
      <c r="A77" s="829">
        <f>IF('TC 66-101 (Bridge Est.)'!$A$40='Bridge Quantities'!AW3,0,IF('Bridge Quantities'!AW38&gt;0,'Bridge Quantities'!AW3,0))</f>
        <v>0</v>
      </c>
      <c r="B77" s="830"/>
      <c r="C77" s="830"/>
      <c r="D77" s="830"/>
      <c r="E77" s="831"/>
      <c r="F77" s="360">
        <f>IF('TC 66-101 (Bridge Est.)'!$A$40='Bridge Quantities'!AW3,0,IF('Bridge Quantities'!AW38&gt;0,'Bridge Quantities'!AW4,0))</f>
        <v>0</v>
      </c>
      <c r="G77" s="361">
        <f>IF('TC 66-101 (Bridge Est.)'!$A$40='Bridge Quantities'!AW3,0,IF('Bridge Quantities'!AW38&gt;0,'Bridge Quantities'!AW5,0))</f>
        <v>0</v>
      </c>
      <c r="H77" s="362">
        <f>IF('TC 66-101 (Bridge Est.)'!$A$40='Bridge Quantities'!AW3,0,IF('Bridge Quantities'!AW38&gt;0,'Bridge Quantities'!AW6,0))</f>
        <v>0</v>
      </c>
      <c r="I77" s="832">
        <f t="shared" si="20"/>
        <v>0</v>
      </c>
      <c r="J77" s="833"/>
      <c r="K77" s="291"/>
      <c r="L77" s="842"/>
      <c r="M77" s="956"/>
      <c r="N77" s="837">
        <f t="shared" si="13"/>
        <v>0</v>
      </c>
      <c r="O77" s="838"/>
      <c r="P77" s="290"/>
      <c r="Q77" s="289">
        <f t="shared" si="18"/>
        <v>0</v>
      </c>
      <c r="R77" s="832">
        <f t="shared" si="19"/>
        <v>0</v>
      </c>
      <c r="S77" s="833"/>
      <c r="T77" s="291"/>
      <c r="U77" s="842"/>
      <c r="V77" s="956"/>
      <c r="W77" s="837">
        <f t="shared" si="15"/>
        <v>0</v>
      </c>
      <c r="X77" s="838"/>
      <c r="Z77" s="345" t="s">
        <v>217</v>
      </c>
    </row>
    <row r="78" spans="1:26" ht="9.75">
      <c r="A78" s="829">
        <f>IF('TC 66-101 (Bridge Est.)'!$A$40='Bridge Quantities'!AX3,0,IF('Bridge Quantities'!AX38&gt;0,'Bridge Quantities'!AX3,0))</f>
        <v>0</v>
      </c>
      <c r="B78" s="830"/>
      <c r="C78" s="830"/>
      <c r="D78" s="830"/>
      <c r="E78" s="831"/>
      <c r="F78" s="360">
        <f>IF('TC 66-101 (Bridge Est.)'!$A$40='Bridge Quantities'!AX3,0,IF('Bridge Quantities'!AX38&gt;0,'Bridge Quantities'!AX4,0))</f>
        <v>0</v>
      </c>
      <c r="G78" s="361">
        <f>IF('TC 66-101 (Bridge Est.)'!$A$40='Bridge Quantities'!AX3,0,IF('Bridge Quantities'!AX38&gt;0,'Bridge Quantities'!AX5,0))</f>
        <v>0</v>
      </c>
      <c r="H78" s="362">
        <f>IF('TC 66-101 (Bridge Est.)'!$A$40='Bridge Quantities'!AX3,0,IF('Bridge Quantities'!AX38&gt;0,'Bridge Quantities'!AX6,0))</f>
        <v>0</v>
      </c>
      <c r="I78" s="832">
        <f t="shared" si="20"/>
        <v>0</v>
      </c>
      <c r="J78" s="833"/>
      <c r="K78" s="291"/>
      <c r="L78" s="842"/>
      <c r="M78" s="956"/>
      <c r="N78" s="837">
        <f t="shared" si="13"/>
        <v>0</v>
      </c>
      <c r="O78" s="838"/>
      <c r="P78" s="287"/>
      <c r="Q78" s="289">
        <f t="shared" si="18"/>
        <v>0</v>
      </c>
      <c r="R78" s="832">
        <f t="shared" si="19"/>
        <v>0</v>
      </c>
      <c r="S78" s="833"/>
      <c r="T78" s="291"/>
      <c r="U78" s="842"/>
      <c r="V78" s="956"/>
      <c r="W78" s="837">
        <f t="shared" si="15"/>
        <v>0</v>
      </c>
      <c r="X78" s="838"/>
      <c r="Z78" s="345" t="s">
        <v>218</v>
      </c>
    </row>
    <row r="79" spans="1:26" ht="9.75">
      <c r="A79" s="829">
        <f>IF('TC 66-101 (Bridge Est.)'!$A$40='Bridge Quantities'!AY3,0,IF('Bridge Quantities'!AY38&gt;0,'Bridge Quantities'!AY3,0))</f>
        <v>0</v>
      </c>
      <c r="B79" s="830"/>
      <c r="C79" s="830"/>
      <c r="D79" s="830"/>
      <c r="E79" s="831"/>
      <c r="F79" s="360">
        <f>IF('TC 66-101 (Bridge Est.)'!$A$40='Bridge Quantities'!AY3,0,IF('Bridge Quantities'!AY38&gt;0,'Bridge Quantities'!AY4,0))</f>
        <v>0</v>
      </c>
      <c r="G79" s="361">
        <f>IF('TC 66-101 (Bridge Est.)'!$A$40='Bridge Quantities'!AY3,0,IF('Bridge Quantities'!AY38&gt;0,'Bridge Quantities'!AY5,0))</f>
        <v>0</v>
      </c>
      <c r="H79" s="362">
        <f>IF('TC 66-101 (Bridge Est.)'!$A$40='Bridge Quantities'!AY3,0,IF('Bridge Quantities'!AY38&gt;0,'Bridge Quantities'!AY6,0))</f>
        <v>0</v>
      </c>
      <c r="I79" s="832">
        <f t="shared" si="20"/>
        <v>0</v>
      </c>
      <c r="J79" s="833"/>
      <c r="K79" s="291"/>
      <c r="L79" s="842"/>
      <c r="M79" s="956"/>
      <c r="N79" s="837">
        <f t="shared" si="13"/>
        <v>0</v>
      </c>
      <c r="O79" s="838"/>
      <c r="P79" s="290"/>
      <c r="Q79" s="289">
        <f t="shared" si="18"/>
        <v>0</v>
      </c>
      <c r="R79" s="832">
        <f t="shared" si="19"/>
        <v>0</v>
      </c>
      <c r="S79" s="833"/>
      <c r="T79" s="291"/>
      <c r="U79" s="842"/>
      <c r="V79" s="956"/>
      <c r="W79" s="837">
        <f t="shared" si="15"/>
        <v>0</v>
      </c>
      <c r="X79" s="838"/>
      <c r="Z79" s="345" t="s">
        <v>219</v>
      </c>
    </row>
    <row r="80" spans="1:26" ht="9.75">
      <c r="A80" s="829">
        <f>IF('TC 66-101 (Bridge Est.)'!$A$40='Bridge Quantities'!AZ3,0,IF('Bridge Quantities'!AZ38&gt;0,'Bridge Quantities'!AZ3,0))</f>
        <v>0</v>
      </c>
      <c r="B80" s="830"/>
      <c r="C80" s="830"/>
      <c r="D80" s="830"/>
      <c r="E80" s="831"/>
      <c r="F80" s="360">
        <f>IF('TC 66-101 (Bridge Est.)'!$A$40='Bridge Quantities'!AZ3,0,IF('Bridge Quantities'!AZ38&gt;0,'Bridge Quantities'!AZ4,0))</f>
        <v>0</v>
      </c>
      <c r="G80" s="361">
        <f>IF('TC 66-101 (Bridge Est.)'!$A$40='Bridge Quantities'!AZ3,0,IF('Bridge Quantities'!AZ38&gt;0,'Bridge Quantities'!AZ5,0))</f>
        <v>0</v>
      </c>
      <c r="H80" s="362">
        <f>IF('TC 66-101 (Bridge Est.)'!$A$40='Bridge Quantities'!AZ3,0,IF('Bridge Quantities'!AZ38&gt;0,'Bridge Quantities'!AZ6,0))</f>
        <v>0</v>
      </c>
      <c r="I80" s="832">
        <f t="shared" si="20"/>
        <v>0</v>
      </c>
      <c r="J80" s="833"/>
      <c r="K80" s="291"/>
      <c r="L80" s="842"/>
      <c r="M80" s="956"/>
      <c r="N80" s="837">
        <f t="shared" si="13"/>
        <v>0</v>
      </c>
      <c r="O80" s="838"/>
      <c r="P80" s="290"/>
      <c r="Q80" s="289">
        <f t="shared" si="18"/>
        <v>0</v>
      </c>
      <c r="R80" s="832">
        <f t="shared" si="19"/>
        <v>0</v>
      </c>
      <c r="S80" s="833"/>
      <c r="T80" s="291"/>
      <c r="U80" s="842"/>
      <c r="V80" s="956"/>
      <c r="W80" s="837">
        <f t="shared" si="15"/>
        <v>0</v>
      </c>
      <c r="X80" s="838"/>
      <c r="Z80" s="345" t="s">
        <v>220</v>
      </c>
    </row>
    <row r="81" spans="1:26" ht="9.75">
      <c r="A81" s="829">
        <f>IF('TC 66-101 (Bridge Est.)'!$A$40='Bridge Quantities'!BA3,0,IF('Bridge Quantities'!BA38&gt;0,'Bridge Quantities'!BA3,0))</f>
        <v>0</v>
      </c>
      <c r="B81" s="830"/>
      <c r="C81" s="830"/>
      <c r="D81" s="830"/>
      <c r="E81" s="831"/>
      <c r="F81" s="360">
        <f>IF('TC 66-101 (Bridge Est.)'!$A$40='Bridge Quantities'!BA3,0,IF('Bridge Quantities'!BA38&gt;0,'Bridge Quantities'!BA4,0))</f>
        <v>0</v>
      </c>
      <c r="G81" s="361">
        <f>IF('TC 66-101 (Bridge Est.)'!$A$40='Bridge Quantities'!BA3,0,IF('Bridge Quantities'!BA38&gt;0,'Bridge Quantities'!BA5,0))</f>
        <v>0</v>
      </c>
      <c r="H81" s="362">
        <f>IF('TC 66-101 (Bridge Est.)'!$A$40='Bridge Quantities'!BA3,0,IF('Bridge Quantities'!BA38&gt;0,'Bridge Quantities'!BA6,0))</f>
        <v>0</v>
      </c>
      <c r="I81" s="832">
        <f t="shared" si="20"/>
        <v>0</v>
      </c>
      <c r="J81" s="833"/>
      <c r="K81" s="291"/>
      <c r="L81" s="842"/>
      <c r="M81" s="956"/>
      <c r="N81" s="837">
        <f t="shared" si="13"/>
        <v>0</v>
      </c>
      <c r="O81" s="838"/>
      <c r="P81" s="287"/>
      <c r="Q81" s="289">
        <f t="shared" si="18"/>
        <v>0</v>
      </c>
      <c r="R81" s="832">
        <f t="shared" si="19"/>
        <v>0</v>
      </c>
      <c r="S81" s="833"/>
      <c r="T81" s="291"/>
      <c r="U81" s="842"/>
      <c r="V81" s="956"/>
      <c r="W81" s="837">
        <f t="shared" si="15"/>
        <v>0</v>
      </c>
      <c r="X81" s="838"/>
      <c r="Z81" s="345" t="s">
        <v>221</v>
      </c>
    </row>
    <row r="82" spans="1:26" ht="9.75">
      <c r="A82" s="829">
        <f>IF('TC 66-101 (Bridge Est.)'!$A$40='Bridge Quantities'!BC3,0,IF('Bridge Quantities'!BC38&gt;0,'Bridge Quantities'!BC3,0))</f>
        <v>0</v>
      </c>
      <c r="B82" s="830"/>
      <c r="C82" s="830"/>
      <c r="D82" s="830"/>
      <c r="E82" s="831"/>
      <c r="F82" s="360">
        <f>IF('TC 66-101 (Bridge Est.)'!$A$40='Bridge Quantities'!BC3,0,IF('Bridge Quantities'!BC38&gt;0,'Bridge Quantities'!BC4,0))</f>
        <v>0</v>
      </c>
      <c r="G82" s="361">
        <f>IF('TC 66-101 (Bridge Est.)'!$A$40='Bridge Quantities'!BC3,0,IF('Bridge Quantities'!BC38&gt;0,'Bridge Quantities'!BC5,0))</f>
        <v>0</v>
      </c>
      <c r="H82" s="362">
        <f>IF('TC 66-101 (Bridge Est.)'!$A$40='Bridge Quantities'!BC3,0,IF('Bridge Quantities'!BC38&gt;0,'Bridge Quantities'!BC6,0))</f>
        <v>0</v>
      </c>
      <c r="I82" s="832">
        <f t="shared" si="20"/>
        <v>0</v>
      </c>
      <c r="J82" s="833"/>
      <c r="K82" s="291"/>
      <c r="L82" s="842"/>
      <c r="M82" s="956"/>
      <c r="N82" s="837">
        <f t="shared" si="13"/>
        <v>0</v>
      </c>
      <c r="O82" s="838"/>
      <c r="P82" s="290"/>
      <c r="Q82" s="289">
        <f t="shared" si="18"/>
        <v>0</v>
      </c>
      <c r="R82" s="832">
        <f t="shared" si="19"/>
        <v>0</v>
      </c>
      <c r="S82" s="833"/>
      <c r="T82" s="291"/>
      <c r="U82" s="842"/>
      <c r="V82" s="956"/>
      <c r="W82" s="837">
        <f t="shared" si="15"/>
        <v>0</v>
      </c>
      <c r="X82" s="838"/>
      <c r="Z82" s="345" t="s">
        <v>223</v>
      </c>
    </row>
    <row r="83" spans="1:26" ht="9.75">
      <c r="A83" s="829">
        <f>IF('TC 66-101 (Bridge Est.)'!$A$40='Bridge Quantities'!BD3,0,IF('Bridge Quantities'!BD38&gt;0,'Bridge Quantities'!BD3,0))</f>
        <v>0</v>
      </c>
      <c r="B83" s="830"/>
      <c r="C83" s="830"/>
      <c r="D83" s="830"/>
      <c r="E83" s="831"/>
      <c r="F83" s="360">
        <f>IF('TC 66-101 (Bridge Est.)'!$A$40='Bridge Quantities'!BD3,0,IF('Bridge Quantities'!BD38&gt;0,'Bridge Quantities'!BD4,0))</f>
        <v>0</v>
      </c>
      <c r="G83" s="361">
        <f>IF('TC 66-101 (Bridge Est.)'!$A$40='Bridge Quantities'!BD3,0,IF('Bridge Quantities'!BD38&gt;0,'Bridge Quantities'!BD5,0))</f>
        <v>0</v>
      </c>
      <c r="H83" s="362">
        <f>IF('TC 66-101 (Bridge Est.)'!$A$40='Bridge Quantities'!BD3,0,IF('Bridge Quantities'!BD38&gt;0,'Bridge Quantities'!BD6,0))</f>
        <v>0</v>
      </c>
      <c r="I83" s="832">
        <f t="shared" si="20"/>
        <v>0</v>
      </c>
      <c r="J83" s="833"/>
      <c r="K83" s="291"/>
      <c r="L83" s="842"/>
      <c r="M83" s="956"/>
      <c r="N83" s="837">
        <f t="shared" si="13"/>
        <v>0</v>
      </c>
      <c r="O83" s="838"/>
      <c r="P83" s="290"/>
      <c r="Q83" s="289">
        <f t="shared" si="18"/>
        <v>0</v>
      </c>
      <c r="R83" s="832">
        <f t="shared" si="19"/>
        <v>0</v>
      </c>
      <c r="S83" s="833"/>
      <c r="T83" s="291"/>
      <c r="U83" s="842"/>
      <c r="V83" s="956"/>
      <c r="W83" s="837">
        <f t="shared" si="15"/>
        <v>0</v>
      </c>
      <c r="X83" s="838"/>
      <c r="Z83" s="345" t="s">
        <v>224</v>
      </c>
    </row>
    <row r="84" spans="1:26" ht="9.75">
      <c r="A84" s="829">
        <f>IF('TC 66-101 (Bridge Est.)'!$A$40='Bridge Quantities'!BE3,0,IF('Bridge Quantities'!BE38&gt;0,'Bridge Quantities'!BE3,0))</f>
        <v>0</v>
      </c>
      <c r="B84" s="830"/>
      <c r="C84" s="830"/>
      <c r="D84" s="830"/>
      <c r="E84" s="831"/>
      <c r="F84" s="360">
        <f>IF('TC 66-101 (Bridge Est.)'!$A$40='Bridge Quantities'!BE3,0,IF('Bridge Quantities'!BE38&gt;0,'Bridge Quantities'!BE4,0))</f>
        <v>0</v>
      </c>
      <c r="G84" s="361">
        <f>IF('TC 66-101 (Bridge Est.)'!$A$40='Bridge Quantities'!BE3,0,IF('Bridge Quantities'!BE38&gt;0,'Bridge Quantities'!BE5,0))</f>
        <v>0</v>
      </c>
      <c r="H84" s="362">
        <f>IF('TC 66-101 (Bridge Est.)'!$A$40='Bridge Quantities'!BE3,0,IF('Bridge Quantities'!BE38&gt;0,'Bridge Quantities'!BE6,0))</f>
        <v>0</v>
      </c>
      <c r="I84" s="832">
        <f t="shared" si="20"/>
        <v>0</v>
      </c>
      <c r="J84" s="833"/>
      <c r="K84" s="291"/>
      <c r="L84" s="842"/>
      <c r="M84" s="956"/>
      <c r="N84" s="837">
        <f t="shared" si="13"/>
        <v>0</v>
      </c>
      <c r="O84" s="838"/>
      <c r="P84" s="287"/>
      <c r="Q84" s="289">
        <f t="shared" si="18"/>
        <v>0</v>
      </c>
      <c r="R84" s="832">
        <f t="shared" si="19"/>
        <v>0</v>
      </c>
      <c r="S84" s="833"/>
      <c r="T84" s="291"/>
      <c r="U84" s="842"/>
      <c r="V84" s="956"/>
      <c r="W84" s="837">
        <f t="shared" si="15"/>
        <v>0</v>
      </c>
      <c r="X84" s="838"/>
      <c r="Z84" s="345" t="s">
        <v>225</v>
      </c>
    </row>
    <row r="85" spans="1:26" ht="9.75">
      <c r="A85" s="829">
        <f>IF('TC 66-101 (Bridge Est.)'!$A$40='Bridge Quantities'!BF3,0,IF('Bridge Quantities'!BF38&gt;0,'Bridge Quantities'!BF3,0))</f>
        <v>0</v>
      </c>
      <c r="B85" s="830"/>
      <c r="C85" s="830"/>
      <c r="D85" s="830"/>
      <c r="E85" s="831"/>
      <c r="F85" s="360">
        <f>IF('TC 66-101 (Bridge Est.)'!$A$40='Bridge Quantities'!BF3,0,IF('Bridge Quantities'!BF38&gt;0,'Bridge Quantities'!BF4,0))</f>
        <v>0</v>
      </c>
      <c r="G85" s="361">
        <f>IF('TC 66-101 (Bridge Est.)'!$A$40='Bridge Quantities'!BF3,0,IF('Bridge Quantities'!BF38&gt;0,'Bridge Quantities'!BF5,0))</f>
        <v>0</v>
      </c>
      <c r="H85" s="362">
        <f>IF('TC 66-101 (Bridge Est.)'!$A$40='Bridge Quantities'!BF3,0,IF('Bridge Quantities'!BF38&gt;0,'Bridge Quantities'!BF6,0))</f>
        <v>0</v>
      </c>
      <c r="I85" s="832">
        <f t="shared" si="20"/>
        <v>0</v>
      </c>
      <c r="J85" s="833"/>
      <c r="K85" s="291"/>
      <c r="L85" s="842"/>
      <c r="M85" s="956"/>
      <c r="N85" s="837">
        <f t="shared" si="13"/>
        <v>0</v>
      </c>
      <c r="O85" s="838"/>
      <c r="P85" s="290"/>
      <c r="Q85" s="289">
        <f t="shared" si="18"/>
        <v>0</v>
      </c>
      <c r="R85" s="832">
        <f t="shared" si="19"/>
        <v>0</v>
      </c>
      <c r="S85" s="833"/>
      <c r="T85" s="291"/>
      <c r="U85" s="842"/>
      <c r="V85" s="956"/>
      <c r="W85" s="837">
        <f t="shared" si="15"/>
        <v>0</v>
      </c>
      <c r="X85" s="838"/>
      <c r="Z85" s="345" t="s">
        <v>226</v>
      </c>
    </row>
    <row r="86" spans="1:26" ht="9.75">
      <c r="A86" s="829">
        <f>IF('TC 66-101 (Bridge Est.)'!$A$40='Bridge Quantities'!BG3,0,IF('Bridge Quantities'!BG38&gt;0,'Bridge Quantities'!BG3,0))</f>
        <v>0</v>
      </c>
      <c r="B86" s="830"/>
      <c r="C86" s="830"/>
      <c r="D86" s="830"/>
      <c r="E86" s="831"/>
      <c r="F86" s="360">
        <f>IF('TC 66-101 (Bridge Est.)'!$A$40='Bridge Quantities'!BG3,0,IF('Bridge Quantities'!BG38&gt;0,'Bridge Quantities'!BG4,0))</f>
        <v>0</v>
      </c>
      <c r="G86" s="361">
        <f>IF('TC 66-101 (Bridge Est.)'!$A$40='Bridge Quantities'!BG3,0,IF('Bridge Quantities'!BG38&gt;0,'Bridge Quantities'!BG5,0))</f>
        <v>0</v>
      </c>
      <c r="H86" s="362">
        <f>IF('TC 66-101 (Bridge Est.)'!$A$40='Bridge Quantities'!BG3,0,IF('Bridge Quantities'!BG38&gt;0,'Bridge Quantities'!BG6,0))</f>
        <v>0</v>
      </c>
      <c r="I86" s="832">
        <f t="shared" si="20"/>
        <v>0</v>
      </c>
      <c r="J86" s="833"/>
      <c r="K86" s="291"/>
      <c r="L86" s="842"/>
      <c r="M86" s="956"/>
      <c r="N86" s="837">
        <f t="shared" si="13"/>
        <v>0</v>
      </c>
      <c r="O86" s="838"/>
      <c r="P86" s="290"/>
      <c r="Q86" s="289">
        <f t="shared" si="18"/>
        <v>0</v>
      </c>
      <c r="R86" s="832">
        <f t="shared" si="19"/>
        <v>0</v>
      </c>
      <c r="S86" s="833"/>
      <c r="T86" s="291"/>
      <c r="U86" s="842"/>
      <c r="V86" s="956"/>
      <c r="W86" s="837">
        <f t="shared" si="15"/>
        <v>0</v>
      </c>
      <c r="X86" s="838"/>
      <c r="Z86" s="345" t="s">
        <v>227</v>
      </c>
    </row>
    <row r="87" spans="1:26" ht="9.75">
      <c r="A87" s="829">
        <f>IF('TC 66-101 (Bridge Est.)'!$A$40='Bridge Quantities'!BI3,0,IF('Bridge Quantities'!BI38&gt;0,'Bridge Quantities'!BI3,0))</f>
        <v>0</v>
      </c>
      <c r="B87" s="830"/>
      <c r="C87" s="830"/>
      <c r="D87" s="830"/>
      <c r="E87" s="831"/>
      <c r="F87" s="360">
        <f>IF('TC 66-101 (Bridge Est.)'!$A$40='Bridge Quantities'!BI3,0,IF('Bridge Quantities'!BI38&gt;0,'Bridge Quantities'!BI4,0))</f>
        <v>0</v>
      </c>
      <c r="G87" s="361">
        <f>IF('TC 66-101 (Bridge Est.)'!$A$40='Bridge Quantities'!BI3,0,IF('Bridge Quantities'!BI38&gt;0,'Bridge Quantities'!BI5,0))</f>
        <v>0</v>
      </c>
      <c r="H87" s="362">
        <f>IF('TC 66-101 (Bridge Est.)'!$A$40='Bridge Quantities'!BI3,0,IF('Bridge Quantities'!BI38&gt;0,'Bridge Quantities'!BI6,0))</f>
        <v>0</v>
      </c>
      <c r="I87" s="832">
        <f t="shared" si="20"/>
        <v>0</v>
      </c>
      <c r="J87" s="833"/>
      <c r="K87" s="291"/>
      <c r="L87" s="842"/>
      <c r="M87" s="956"/>
      <c r="N87" s="837">
        <f t="shared" si="13"/>
        <v>0</v>
      </c>
      <c r="O87" s="838"/>
      <c r="P87" s="287"/>
      <c r="Q87" s="289">
        <f t="shared" si="18"/>
        <v>0</v>
      </c>
      <c r="R87" s="832">
        <f t="shared" si="19"/>
        <v>0</v>
      </c>
      <c r="S87" s="833"/>
      <c r="T87" s="291"/>
      <c r="U87" s="842"/>
      <c r="V87" s="956"/>
      <c r="W87" s="837">
        <f t="shared" si="15"/>
        <v>0</v>
      </c>
      <c r="X87" s="838"/>
      <c r="Z87" s="345" t="s">
        <v>229</v>
      </c>
    </row>
    <row r="88" spans="1:26" ht="9.75">
      <c r="A88" s="829">
        <f>IF('TC 66-101 (Bridge Est.)'!$A$40='Bridge Quantities'!BJ3,0,IF('Bridge Quantities'!BJ38&gt;0,'Bridge Quantities'!BJ3,0))</f>
        <v>0</v>
      </c>
      <c r="B88" s="830"/>
      <c r="C88" s="830"/>
      <c r="D88" s="830"/>
      <c r="E88" s="831"/>
      <c r="F88" s="360">
        <f>IF('TC 66-101 (Bridge Est.)'!$A$40='Bridge Quantities'!BJ3,0,IF('Bridge Quantities'!BJ38&gt;0,'Bridge Quantities'!BJ4,0))</f>
        <v>0</v>
      </c>
      <c r="G88" s="361">
        <f>IF('TC 66-101 (Bridge Est.)'!$A$40='Bridge Quantities'!BJ3,0,IF('Bridge Quantities'!BJ38&gt;0,'Bridge Quantities'!BJ5,0))</f>
        <v>0</v>
      </c>
      <c r="H88" s="362">
        <f>IF('TC 66-101 (Bridge Est.)'!$A$40='Bridge Quantities'!BJ3,0,IF('Bridge Quantities'!BJ38&gt;0,'Bridge Quantities'!BJ6,0))</f>
        <v>0</v>
      </c>
      <c r="I88" s="832">
        <f t="shared" si="20"/>
        <v>0</v>
      </c>
      <c r="J88" s="833"/>
      <c r="K88" s="291"/>
      <c r="L88" s="842"/>
      <c r="M88" s="956"/>
      <c r="N88" s="837">
        <f t="shared" si="13"/>
        <v>0</v>
      </c>
      <c r="O88" s="838"/>
      <c r="P88" s="290"/>
      <c r="Q88" s="289">
        <f t="shared" si="18"/>
        <v>0</v>
      </c>
      <c r="R88" s="832">
        <f t="shared" si="19"/>
        <v>0</v>
      </c>
      <c r="S88" s="833"/>
      <c r="T88" s="291"/>
      <c r="U88" s="842"/>
      <c r="V88" s="956"/>
      <c r="W88" s="837">
        <f t="shared" si="15"/>
        <v>0</v>
      </c>
      <c r="X88" s="838"/>
      <c r="Z88" s="345" t="s">
        <v>230</v>
      </c>
    </row>
    <row r="89" spans="1:26" ht="9.75">
      <c r="A89" s="829">
        <f>IF('TC 66-101 (Bridge Est.)'!$A$40='Bridge Quantities'!BK3,0,IF('Bridge Quantities'!BK38&gt;0,'Bridge Quantities'!BK3,0))</f>
        <v>0</v>
      </c>
      <c r="B89" s="830"/>
      <c r="C89" s="830"/>
      <c r="D89" s="830"/>
      <c r="E89" s="831"/>
      <c r="F89" s="360">
        <f>IF('TC 66-101 (Bridge Est.)'!$A$40='Bridge Quantities'!BK3,0,IF('Bridge Quantities'!BK38&gt;0,'Bridge Quantities'!BK4,0))</f>
        <v>0</v>
      </c>
      <c r="G89" s="361">
        <f>IF('TC 66-101 (Bridge Est.)'!$A$40='Bridge Quantities'!BK3,0,IF('Bridge Quantities'!BK38&gt;0,'Bridge Quantities'!BK5,0))</f>
        <v>0</v>
      </c>
      <c r="H89" s="362">
        <f>IF('TC 66-101 (Bridge Est.)'!$A$40='Bridge Quantities'!BK3,0,IF('Bridge Quantities'!BK38&gt;0,'Bridge Quantities'!BK6,0))</f>
        <v>0</v>
      </c>
      <c r="I89" s="832">
        <f t="shared" si="20"/>
        <v>0</v>
      </c>
      <c r="J89" s="833"/>
      <c r="K89" s="291"/>
      <c r="L89" s="842"/>
      <c r="M89" s="956"/>
      <c r="N89" s="837">
        <f t="shared" si="13"/>
        <v>0</v>
      </c>
      <c r="O89" s="838"/>
      <c r="P89" s="290"/>
      <c r="Q89" s="289">
        <f t="shared" si="18"/>
        <v>0</v>
      </c>
      <c r="R89" s="832">
        <f t="shared" si="19"/>
        <v>0</v>
      </c>
      <c r="S89" s="833"/>
      <c r="T89" s="291"/>
      <c r="U89" s="842"/>
      <c r="V89" s="956"/>
      <c r="W89" s="837">
        <f t="shared" si="15"/>
        <v>0</v>
      </c>
      <c r="X89" s="838"/>
      <c r="Z89" s="345" t="s">
        <v>231</v>
      </c>
    </row>
    <row r="90" spans="1:26" ht="9.75">
      <c r="A90" s="829">
        <f>IF('TC 66-101 (Bridge Est.)'!$A$40='Bridge Quantities'!BL3,0,IF('Bridge Quantities'!BL38&gt;0,'Bridge Quantities'!BL3,0))</f>
        <v>0</v>
      </c>
      <c r="B90" s="830"/>
      <c r="C90" s="830"/>
      <c r="D90" s="830"/>
      <c r="E90" s="831"/>
      <c r="F90" s="360">
        <f>IF('TC 66-101 (Bridge Est.)'!$A$40='Bridge Quantities'!BL3,0,IF('Bridge Quantities'!BL38&gt;0,'Bridge Quantities'!BL4,0))</f>
        <v>0</v>
      </c>
      <c r="G90" s="361">
        <f>IF('TC 66-101 (Bridge Est.)'!$A$40='Bridge Quantities'!BL3,0,IF('Bridge Quantities'!BL38&gt;0,'Bridge Quantities'!BL5,0))</f>
        <v>0</v>
      </c>
      <c r="H90" s="362">
        <f>IF('TC 66-101 (Bridge Est.)'!$A$40='Bridge Quantities'!BL3,0,IF('Bridge Quantities'!BL38&gt;0,'Bridge Quantities'!BL6,0))</f>
        <v>0</v>
      </c>
      <c r="I90" s="832">
        <f t="shared" si="20"/>
        <v>0</v>
      </c>
      <c r="J90" s="833"/>
      <c r="K90" s="291"/>
      <c r="L90" s="842"/>
      <c r="M90" s="956"/>
      <c r="N90" s="837">
        <f t="shared" si="13"/>
        <v>0</v>
      </c>
      <c r="O90" s="838"/>
      <c r="P90" s="287"/>
      <c r="Q90" s="289">
        <f t="shared" si="18"/>
        <v>0</v>
      </c>
      <c r="R90" s="832">
        <f t="shared" si="19"/>
        <v>0</v>
      </c>
      <c r="S90" s="833"/>
      <c r="T90" s="291"/>
      <c r="U90" s="842"/>
      <c r="V90" s="956"/>
      <c r="W90" s="837">
        <f t="shared" si="15"/>
        <v>0</v>
      </c>
      <c r="X90" s="838"/>
      <c r="Z90" s="345" t="s">
        <v>232</v>
      </c>
    </row>
    <row r="91" spans="1:26" ht="9.75">
      <c r="A91" s="829">
        <f>IF('TC 66-101 (Bridge Est.)'!$A$40='Bridge Quantities'!BM3,0,IF('Bridge Quantities'!BM38&gt;0,'Bridge Quantities'!BM3,0))</f>
        <v>0</v>
      </c>
      <c r="B91" s="830"/>
      <c r="C91" s="830"/>
      <c r="D91" s="830"/>
      <c r="E91" s="831"/>
      <c r="F91" s="360">
        <f>IF('TC 66-101 (Bridge Est.)'!$A$40='Bridge Quantities'!BM3,0,IF('Bridge Quantities'!BM38&gt;0,'Bridge Quantities'!BM4,0))</f>
        <v>0</v>
      </c>
      <c r="G91" s="361">
        <f>IF('TC 66-101 (Bridge Est.)'!$A$40='Bridge Quantities'!BM3,0,IF('Bridge Quantities'!BM38&gt;0,'Bridge Quantities'!BM5,0))</f>
        <v>0</v>
      </c>
      <c r="H91" s="362">
        <f>IF('TC 66-101 (Bridge Est.)'!$A$40='Bridge Quantities'!BM3,0,IF('Bridge Quantities'!BM38&gt;0,'Bridge Quantities'!BM6,0))</f>
        <v>0</v>
      </c>
      <c r="I91" s="832">
        <f t="shared" si="20"/>
        <v>0</v>
      </c>
      <c r="J91" s="833"/>
      <c r="K91" s="291"/>
      <c r="L91" s="842"/>
      <c r="M91" s="956"/>
      <c r="N91" s="837">
        <f t="shared" si="13"/>
        <v>0</v>
      </c>
      <c r="O91" s="838"/>
      <c r="P91" s="290"/>
      <c r="Q91" s="289">
        <f t="shared" si="18"/>
        <v>0</v>
      </c>
      <c r="R91" s="832">
        <f t="shared" si="19"/>
        <v>0</v>
      </c>
      <c r="S91" s="833"/>
      <c r="T91" s="291"/>
      <c r="U91" s="842"/>
      <c r="V91" s="956"/>
      <c r="W91" s="837">
        <f t="shared" si="15"/>
        <v>0</v>
      </c>
      <c r="X91" s="838"/>
      <c r="Z91" s="345" t="s">
        <v>233</v>
      </c>
    </row>
    <row r="92" spans="1:26" ht="9.75">
      <c r="A92" s="829">
        <f>IF('TC 66-101 (Bridge Est.)'!$A$40='Bridge Quantities'!BO3,0,IF('Bridge Quantities'!BO38&gt;0,'Bridge Quantities'!BO3,0))</f>
        <v>0</v>
      </c>
      <c r="B92" s="830"/>
      <c r="C92" s="830"/>
      <c r="D92" s="830"/>
      <c r="E92" s="831"/>
      <c r="F92" s="360">
        <f>IF('TC 66-101 (Bridge Est.)'!$A$40='Bridge Quantities'!BO3,0,IF('Bridge Quantities'!BO38&gt;0,'Bridge Quantities'!BO4,0))</f>
        <v>0</v>
      </c>
      <c r="G92" s="361">
        <f>IF('TC 66-101 (Bridge Est.)'!$A$40='Bridge Quantities'!BO3,0,IF('Bridge Quantities'!BO38&gt;0,'Bridge Quantities'!BO5,0))</f>
        <v>0</v>
      </c>
      <c r="H92" s="362">
        <f>IF('TC 66-101 (Bridge Est.)'!$A$40='Bridge Quantities'!BO3,0,IF('Bridge Quantities'!BO38&gt;0,'Bridge Quantities'!BO6,0))</f>
        <v>0</v>
      </c>
      <c r="I92" s="832">
        <f t="shared" si="20"/>
        <v>0</v>
      </c>
      <c r="J92" s="833"/>
      <c r="K92" s="291"/>
      <c r="L92" s="842"/>
      <c r="M92" s="956"/>
      <c r="N92" s="837">
        <f t="shared" si="13"/>
        <v>0</v>
      </c>
      <c r="O92" s="838"/>
      <c r="P92" s="290"/>
      <c r="Q92" s="289">
        <f t="shared" si="18"/>
        <v>0</v>
      </c>
      <c r="R92" s="832">
        <f t="shared" si="19"/>
        <v>0</v>
      </c>
      <c r="S92" s="833"/>
      <c r="T92" s="291"/>
      <c r="U92" s="842"/>
      <c r="V92" s="956"/>
      <c r="W92" s="837">
        <f t="shared" si="15"/>
        <v>0</v>
      </c>
      <c r="X92" s="838"/>
      <c r="Z92" s="345" t="s">
        <v>235</v>
      </c>
    </row>
    <row r="93" spans="1:26" ht="9.75">
      <c r="A93" s="829">
        <f>IF('TC 66-101 (Bridge Est.)'!$A$40='Bridge Quantities'!BP3,0,IF('Bridge Quantities'!BP38&gt;0,'Bridge Quantities'!BP3,0))</f>
        <v>0</v>
      </c>
      <c r="B93" s="830"/>
      <c r="C93" s="830"/>
      <c r="D93" s="830"/>
      <c r="E93" s="831"/>
      <c r="F93" s="360">
        <f>IF('TC 66-101 (Bridge Est.)'!$A$40='Bridge Quantities'!BP3,0,IF('Bridge Quantities'!BP38&gt;0,'Bridge Quantities'!BP4,0))</f>
        <v>0</v>
      </c>
      <c r="G93" s="361">
        <f>IF('TC 66-101 (Bridge Est.)'!$A$40='Bridge Quantities'!BP3,0,IF('Bridge Quantities'!BP38&gt;0,'Bridge Quantities'!BP5,0))</f>
        <v>0</v>
      </c>
      <c r="H93" s="362">
        <f>IF('TC 66-101 (Bridge Est.)'!$A$40='Bridge Quantities'!BP3,0,IF('Bridge Quantities'!BP38&gt;0,'Bridge Quantities'!BP6,0))</f>
        <v>0</v>
      </c>
      <c r="I93" s="832">
        <f t="shared" si="20"/>
        <v>0</v>
      </c>
      <c r="J93" s="833"/>
      <c r="K93" s="291"/>
      <c r="L93" s="842"/>
      <c r="M93" s="956"/>
      <c r="N93" s="837">
        <f t="shared" si="13"/>
        <v>0</v>
      </c>
      <c r="O93" s="838"/>
      <c r="P93" s="287"/>
      <c r="Q93" s="289">
        <f t="shared" si="18"/>
        <v>0</v>
      </c>
      <c r="R93" s="832">
        <f t="shared" si="19"/>
        <v>0</v>
      </c>
      <c r="S93" s="833"/>
      <c r="T93" s="291"/>
      <c r="U93" s="842"/>
      <c r="V93" s="956"/>
      <c r="W93" s="837">
        <f t="shared" si="15"/>
        <v>0</v>
      </c>
      <c r="X93" s="838"/>
      <c r="Z93" s="345" t="s">
        <v>3084</v>
      </c>
    </row>
    <row r="94" spans="1:26" ht="9.75">
      <c r="A94" s="829">
        <f>IF('TC 66-101 (Bridge Est.)'!$A$40='Bridge Quantities'!BQ3,0,IF('Bridge Quantities'!BQ38&gt;0,'Bridge Quantities'!BQ3,0))</f>
        <v>0</v>
      </c>
      <c r="B94" s="830"/>
      <c r="C94" s="830"/>
      <c r="D94" s="830"/>
      <c r="E94" s="831"/>
      <c r="F94" s="360">
        <f>IF('TC 66-101 (Bridge Est.)'!$A$40='Bridge Quantities'!BQ3,0,IF('Bridge Quantities'!BQ38&gt;0,'Bridge Quantities'!BQ4,0))</f>
        <v>0</v>
      </c>
      <c r="G94" s="361">
        <f>IF('TC 66-101 (Bridge Est.)'!$A$40='Bridge Quantities'!BQ3,0,IF('Bridge Quantities'!BQ38&gt;0,'Bridge Quantities'!BQ5,0))</f>
        <v>0</v>
      </c>
      <c r="H94" s="362">
        <f>IF('TC 66-101 (Bridge Est.)'!$A$40='Bridge Quantities'!BQ3,0,IF('Bridge Quantities'!BQ38&gt;0,'Bridge Quantities'!BQ6,0))</f>
        <v>0</v>
      </c>
      <c r="I94" s="832">
        <f t="shared" si="20"/>
        <v>0</v>
      </c>
      <c r="J94" s="833"/>
      <c r="K94" s="291"/>
      <c r="L94" s="842"/>
      <c r="M94" s="956"/>
      <c r="N94" s="837">
        <f t="shared" si="13"/>
        <v>0</v>
      </c>
      <c r="O94" s="838"/>
      <c r="P94" s="290"/>
      <c r="Q94" s="289">
        <f t="shared" si="18"/>
        <v>0</v>
      </c>
      <c r="R94" s="832">
        <f t="shared" si="19"/>
        <v>0</v>
      </c>
      <c r="S94" s="833"/>
      <c r="T94" s="291"/>
      <c r="U94" s="842"/>
      <c r="V94" s="956"/>
      <c r="W94" s="837">
        <f t="shared" si="15"/>
        <v>0</v>
      </c>
      <c r="X94" s="838"/>
      <c r="Z94" s="345" t="s">
        <v>3085</v>
      </c>
    </row>
    <row r="95" spans="1:26" ht="9.75">
      <c r="A95" s="829">
        <f>IF('TC 66-101 (Bridge Est.)'!$A$40='Bridge Quantities'!BR3,0,IF('Bridge Quantities'!BR38&gt;0,'Bridge Quantities'!BR3,0))</f>
        <v>0</v>
      </c>
      <c r="B95" s="830"/>
      <c r="C95" s="830"/>
      <c r="D95" s="830"/>
      <c r="E95" s="831"/>
      <c r="F95" s="360">
        <f>IF('TC 66-101 (Bridge Est.)'!$A$40='Bridge Quantities'!BR3,0,IF('Bridge Quantities'!BR38&gt;0,'Bridge Quantities'!BR4,0))</f>
        <v>0</v>
      </c>
      <c r="G95" s="361">
        <f>IF('TC 66-101 (Bridge Est.)'!$A$40='Bridge Quantities'!BR3,0,IF('Bridge Quantities'!BR38&gt;0,'Bridge Quantities'!BR5,0))</f>
        <v>0</v>
      </c>
      <c r="H95" s="362">
        <f>IF('TC 66-101 (Bridge Est.)'!$A$40='Bridge Quantities'!BR3,0,IF('Bridge Quantities'!BR38&gt;0,'Bridge Quantities'!BR6,0))</f>
        <v>0</v>
      </c>
      <c r="I95" s="832">
        <f t="shared" si="20"/>
        <v>0</v>
      </c>
      <c r="J95" s="833"/>
      <c r="K95" s="291"/>
      <c r="L95" s="842"/>
      <c r="M95" s="956"/>
      <c r="N95" s="837">
        <f t="shared" si="13"/>
        <v>0</v>
      </c>
      <c r="O95" s="838"/>
      <c r="P95" s="290"/>
      <c r="Q95" s="289">
        <f t="shared" si="18"/>
        <v>0</v>
      </c>
      <c r="R95" s="832">
        <f t="shared" si="19"/>
        <v>0</v>
      </c>
      <c r="S95" s="833"/>
      <c r="T95" s="291"/>
      <c r="U95" s="842"/>
      <c r="V95" s="956"/>
      <c r="W95" s="837">
        <f t="shared" si="15"/>
        <v>0</v>
      </c>
      <c r="X95" s="838"/>
      <c r="Z95" s="345" t="s">
        <v>3086</v>
      </c>
    </row>
    <row r="96" spans="1:26" ht="9.75">
      <c r="A96" s="829">
        <f>IF('TC 66-101 (Bridge Est.)'!$A$40='Bridge Quantities'!BS3,0,IF('Bridge Quantities'!BS38&gt;0,'Bridge Quantities'!BS3,0))</f>
        <v>0</v>
      </c>
      <c r="B96" s="830"/>
      <c r="C96" s="830"/>
      <c r="D96" s="830"/>
      <c r="E96" s="831"/>
      <c r="F96" s="360">
        <f>IF('TC 66-101 (Bridge Est.)'!$A$40='Bridge Quantities'!BS3,0,IF('Bridge Quantities'!BS38&gt;0,'Bridge Quantities'!BS4,0))</f>
        <v>0</v>
      </c>
      <c r="G96" s="361">
        <f>IF('TC 66-101 (Bridge Est.)'!$A$40='Bridge Quantities'!BS3,0,IF('Bridge Quantities'!BS38&gt;0,'Bridge Quantities'!BS5,0))</f>
        <v>0</v>
      </c>
      <c r="H96" s="362">
        <f>IF('TC 66-101 (Bridge Est.)'!$A$40='Bridge Quantities'!BS3,0,IF('Bridge Quantities'!BS38&gt;0,'Bridge Quantities'!BS6,0))</f>
        <v>0</v>
      </c>
      <c r="I96" s="832">
        <f t="shared" si="20"/>
        <v>0</v>
      </c>
      <c r="J96" s="833"/>
      <c r="K96" s="291"/>
      <c r="L96" s="842"/>
      <c r="M96" s="956"/>
      <c r="N96" s="837">
        <f t="shared" si="13"/>
        <v>0</v>
      </c>
      <c r="O96" s="838"/>
      <c r="P96" s="287"/>
      <c r="Q96" s="289">
        <f t="shared" si="18"/>
        <v>0</v>
      </c>
      <c r="R96" s="832">
        <f t="shared" si="19"/>
        <v>0</v>
      </c>
      <c r="S96" s="833"/>
      <c r="T96" s="291"/>
      <c r="U96" s="842"/>
      <c r="V96" s="956"/>
      <c r="W96" s="837">
        <f t="shared" si="15"/>
        <v>0</v>
      </c>
      <c r="X96" s="838"/>
      <c r="Z96" s="345" t="s">
        <v>3087</v>
      </c>
    </row>
    <row r="97" spans="1:26" ht="9.75">
      <c r="A97" s="829">
        <f>IF('Bridge Quantities'!BV38&gt;0,'Bridge Quantities'!BV3,0)</f>
        <v>0</v>
      </c>
      <c r="B97" s="830"/>
      <c r="C97" s="830"/>
      <c r="D97" s="830"/>
      <c r="E97" s="831"/>
      <c r="F97" s="50">
        <f>IF('Bridge Quantities'!$BV$38&gt;0,'Bridge Quantities'!$BV$4,0)</f>
        <v>0</v>
      </c>
      <c r="G97" s="288">
        <f>IF('Bridge Quantities'!BV38&gt;0,'Bridge Quantities'!BV5,0)</f>
        <v>0</v>
      </c>
      <c r="H97" s="289">
        <f>IF('Bridge Quantities'!BV38&gt;0,'Bridge Quantities'!BV6,0)</f>
        <v>0</v>
      </c>
      <c r="I97" s="832">
        <f t="shared" si="20"/>
        <v>0</v>
      </c>
      <c r="J97" s="833"/>
      <c r="K97" s="291"/>
      <c r="L97" s="842"/>
      <c r="M97" s="956"/>
      <c r="N97" s="837">
        <f t="shared" si="13"/>
        <v>0</v>
      </c>
      <c r="O97" s="838"/>
      <c r="P97" s="290"/>
      <c r="Q97" s="289">
        <f t="shared" si="18"/>
        <v>0</v>
      </c>
      <c r="R97" s="832">
        <f t="shared" si="19"/>
        <v>0</v>
      </c>
      <c r="S97" s="833"/>
      <c r="T97" s="291"/>
      <c r="U97" s="842"/>
      <c r="V97" s="956"/>
      <c r="W97" s="837">
        <f t="shared" si="15"/>
        <v>0</v>
      </c>
      <c r="X97" s="838"/>
      <c r="Z97" s="345" t="s">
        <v>3088</v>
      </c>
    </row>
    <row r="98" spans="1:26" ht="9.75">
      <c r="A98" s="829">
        <f>IF('Bridge Quantities'!BT38&gt;0,'Bridge Quantities'!BT3,0)</f>
        <v>0</v>
      </c>
      <c r="B98" s="830"/>
      <c r="C98" s="830"/>
      <c r="D98" s="830"/>
      <c r="E98" s="831"/>
      <c r="F98" s="50">
        <f>IF('Bridge Quantities'!$BT$38&gt;0,'Bridge Quantities'!$BT$4,0)</f>
        <v>0</v>
      </c>
      <c r="G98" s="288">
        <f>IF('Bridge Quantities'!BT38&gt;0,'Bridge Quantities'!BT5,0)</f>
        <v>0</v>
      </c>
      <c r="H98" s="289">
        <f>IF('Bridge Quantities'!BT38&gt;0,'Bridge Quantities'!BT6,0)</f>
        <v>0</v>
      </c>
      <c r="I98" s="832">
        <f aca="true" t="shared" si="21" ref="I98:I117">G98*H98</f>
        <v>0</v>
      </c>
      <c r="J98" s="833"/>
      <c r="K98" s="291"/>
      <c r="L98" s="842"/>
      <c r="M98" s="956"/>
      <c r="N98" s="837">
        <f t="shared" si="13"/>
        <v>0</v>
      </c>
      <c r="O98" s="838"/>
      <c r="P98" s="290"/>
      <c r="Q98" s="289">
        <f t="shared" si="18"/>
        <v>0</v>
      </c>
      <c r="R98" s="832">
        <f t="shared" si="19"/>
        <v>0</v>
      </c>
      <c r="S98" s="833"/>
      <c r="T98" s="291"/>
      <c r="U98" s="842"/>
      <c r="V98" s="956"/>
      <c r="W98" s="837">
        <f t="shared" si="15"/>
        <v>0</v>
      </c>
      <c r="X98" s="838"/>
      <c r="Z98" s="345" t="s">
        <v>3132</v>
      </c>
    </row>
    <row r="99" spans="1:26" ht="9.75">
      <c r="A99" s="829">
        <f>IF('Bridge Quantities'!BU38&gt;0,'Bridge Quantities'!BU3,0)</f>
        <v>0</v>
      </c>
      <c r="B99" s="830"/>
      <c r="C99" s="830"/>
      <c r="D99" s="830"/>
      <c r="E99" s="831"/>
      <c r="F99" s="50">
        <f>IF('Bridge Quantities'!$BU$38&gt;0,'Bridge Quantities'!$BU$4,0)</f>
        <v>0</v>
      </c>
      <c r="G99" s="288">
        <f>IF('Bridge Quantities'!BU38&gt;0,'Bridge Quantities'!BU5,0)</f>
        <v>0</v>
      </c>
      <c r="H99" s="289">
        <f>IF('Bridge Quantities'!BU38&gt;0,'Bridge Quantities'!BU6,0)</f>
        <v>0</v>
      </c>
      <c r="I99" s="832">
        <f t="shared" si="21"/>
        <v>0</v>
      </c>
      <c r="J99" s="833"/>
      <c r="K99" s="291"/>
      <c r="L99" s="842"/>
      <c r="M99" s="956"/>
      <c r="N99" s="837">
        <f t="shared" si="13"/>
        <v>0</v>
      </c>
      <c r="O99" s="838"/>
      <c r="P99" s="287"/>
      <c r="Q99" s="289">
        <f t="shared" si="18"/>
        <v>0</v>
      </c>
      <c r="R99" s="832">
        <f t="shared" si="19"/>
        <v>0</v>
      </c>
      <c r="S99" s="833"/>
      <c r="T99" s="291"/>
      <c r="U99" s="842"/>
      <c r="V99" s="956"/>
      <c r="W99" s="837">
        <f t="shared" si="15"/>
        <v>0</v>
      </c>
      <c r="X99" s="838"/>
      <c r="Z99" s="345" t="s">
        <v>3133</v>
      </c>
    </row>
    <row r="100" spans="1:26" ht="9.75">
      <c r="A100" s="829">
        <f>IF('Bridge Quantities'!BW38&gt;0,'Bridge Quantities'!BW3,0)</f>
        <v>0</v>
      </c>
      <c r="B100" s="830"/>
      <c r="C100" s="830"/>
      <c r="D100" s="830"/>
      <c r="E100" s="831"/>
      <c r="F100" s="50">
        <f>IF('Bridge Quantities'!$BW$38&gt;0,'Bridge Quantities'!$BW$4,0)</f>
        <v>0</v>
      </c>
      <c r="G100" s="288">
        <f>IF('Bridge Quantities'!BW38&gt;0,'Bridge Quantities'!BW5,0)</f>
        <v>0</v>
      </c>
      <c r="H100" s="289">
        <f>IF('Bridge Quantities'!BW38&gt;0,'Bridge Quantities'!BW6,0)</f>
        <v>0</v>
      </c>
      <c r="I100" s="832">
        <f t="shared" si="21"/>
        <v>0</v>
      </c>
      <c r="J100" s="833"/>
      <c r="K100" s="291"/>
      <c r="L100" s="842"/>
      <c r="M100" s="956"/>
      <c r="N100" s="837">
        <f t="shared" si="13"/>
        <v>0</v>
      </c>
      <c r="O100" s="838"/>
      <c r="P100" s="290"/>
      <c r="Q100" s="289">
        <f t="shared" si="18"/>
        <v>0</v>
      </c>
      <c r="R100" s="832">
        <f t="shared" si="19"/>
        <v>0</v>
      </c>
      <c r="S100" s="833"/>
      <c r="T100" s="291"/>
      <c r="U100" s="842"/>
      <c r="V100" s="956"/>
      <c r="W100" s="837">
        <f t="shared" si="15"/>
        <v>0</v>
      </c>
      <c r="X100" s="838"/>
      <c r="Z100" s="345" t="s">
        <v>3134</v>
      </c>
    </row>
    <row r="101" spans="1:26" ht="9.75">
      <c r="A101" s="829">
        <f>IF('Bridge Quantities'!BX38&gt;0,'Bridge Quantities'!BX3,0)</f>
        <v>0</v>
      </c>
      <c r="B101" s="830"/>
      <c r="C101" s="830"/>
      <c r="D101" s="830"/>
      <c r="E101" s="831"/>
      <c r="F101" s="50">
        <f>IF('Bridge Quantities'!$BX$38&gt;0,'Bridge Quantities'!$BX$4,0)</f>
        <v>0</v>
      </c>
      <c r="G101" s="288">
        <f>IF('Bridge Quantities'!BX38&gt;0,'Bridge Quantities'!BX5,0)</f>
        <v>0</v>
      </c>
      <c r="H101" s="289">
        <f>IF('Bridge Quantities'!BX38&gt;0,'Bridge Quantities'!BX6,0)</f>
        <v>0</v>
      </c>
      <c r="I101" s="832">
        <f t="shared" si="21"/>
        <v>0</v>
      </c>
      <c r="J101" s="833"/>
      <c r="K101" s="291"/>
      <c r="L101" s="842"/>
      <c r="M101" s="956"/>
      <c r="N101" s="837">
        <f t="shared" si="13"/>
        <v>0</v>
      </c>
      <c r="O101" s="838"/>
      <c r="P101" s="290"/>
      <c r="Q101" s="289">
        <f t="shared" si="18"/>
        <v>0</v>
      </c>
      <c r="R101" s="832">
        <f t="shared" si="19"/>
        <v>0</v>
      </c>
      <c r="S101" s="833"/>
      <c r="T101" s="291"/>
      <c r="U101" s="842"/>
      <c r="V101" s="956"/>
      <c r="W101" s="837">
        <f t="shared" si="15"/>
        <v>0</v>
      </c>
      <c r="X101" s="838"/>
      <c r="Z101" s="345" t="s">
        <v>3135</v>
      </c>
    </row>
    <row r="102" spans="1:26" ht="9.75">
      <c r="A102" s="829">
        <f>IF('Bridge Quantities'!BY38&gt;0,'Bridge Quantities'!BY3,0)</f>
        <v>0</v>
      </c>
      <c r="B102" s="830"/>
      <c r="C102" s="830"/>
      <c r="D102" s="830"/>
      <c r="E102" s="831"/>
      <c r="F102" s="50">
        <f>IF('Bridge Quantities'!$BY$38&gt;0,'Bridge Quantities'!$BY$4,0)</f>
        <v>0</v>
      </c>
      <c r="G102" s="288">
        <f>IF('Bridge Quantities'!BY38&gt;0,'Bridge Quantities'!BY5,0)</f>
        <v>0</v>
      </c>
      <c r="H102" s="289">
        <f>IF('Bridge Quantities'!BY38&gt;0,'Bridge Quantities'!BY6,0)</f>
        <v>0</v>
      </c>
      <c r="I102" s="832">
        <f t="shared" si="21"/>
        <v>0</v>
      </c>
      <c r="J102" s="833"/>
      <c r="K102" s="291"/>
      <c r="L102" s="842"/>
      <c r="M102" s="956"/>
      <c r="N102" s="837">
        <f t="shared" si="13"/>
        <v>0</v>
      </c>
      <c r="O102" s="838"/>
      <c r="P102" s="287"/>
      <c r="Q102" s="289">
        <f aca="true" t="shared" si="22" ref="Q102:Q117">H102</f>
        <v>0</v>
      </c>
      <c r="R102" s="832">
        <f t="shared" si="14"/>
        <v>0</v>
      </c>
      <c r="S102" s="833"/>
      <c r="T102" s="291"/>
      <c r="U102" s="842"/>
      <c r="V102" s="956"/>
      <c r="W102" s="837">
        <f t="shared" si="15"/>
        <v>0</v>
      </c>
      <c r="X102" s="838"/>
      <c r="Z102" s="345" t="s">
        <v>3136</v>
      </c>
    </row>
    <row r="103" spans="1:26" ht="9.75">
      <c r="A103" s="829">
        <f>IF('Bridge Quantities'!BZ38&gt;0,'Bridge Quantities'!BZ3,0)</f>
        <v>0</v>
      </c>
      <c r="B103" s="830"/>
      <c r="C103" s="830"/>
      <c r="D103" s="830"/>
      <c r="E103" s="831"/>
      <c r="F103" s="50">
        <f>IF('Bridge Quantities'!$BZ$38&gt;0,'Bridge Quantities'!$BZ$4,0)</f>
        <v>0</v>
      </c>
      <c r="G103" s="288">
        <f>IF('Bridge Quantities'!BZ38&gt;0,'Bridge Quantities'!BZ5,0)</f>
        <v>0</v>
      </c>
      <c r="H103" s="289">
        <f>IF('Bridge Quantities'!BZ38&gt;0,'Bridge Quantities'!BZ6,0)</f>
        <v>0</v>
      </c>
      <c r="I103" s="832">
        <f t="shared" si="21"/>
        <v>0</v>
      </c>
      <c r="J103" s="833"/>
      <c r="K103" s="289">
        <f>IF('Bridge Quantities'!BZ38&gt;0,'Bridge Quantities'!BZ38-'Bridge Quantities'!BZ6,0)</f>
        <v>0</v>
      </c>
      <c r="L103" s="832">
        <f aca="true" t="shared" si="23" ref="L103:L117">G103*K103</f>
        <v>0</v>
      </c>
      <c r="M103" s="834"/>
      <c r="N103" s="837">
        <f t="shared" si="13"/>
        <v>0</v>
      </c>
      <c r="O103" s="838"/>
      <c r="P103" s="290"/>
      <c r="Q103" s="289">
        <f t="shared" si="22"/>
        <v>0</v>
      </c>
      <c r="R103" s="832">
        <f t="shared" si="14"/>
        <v>0</v>
      </c>
      <c r="S103" s="833"/>
      <c r="T103" s="289">
        <f aca="true" t="shared" si="24" ref="T103:T117">K103</f>
        <v>0</v>
      </c>
      <c r="U103" s="832">
        <f aca="true" t="shared" si="25" ref="U103:U117">P103*T103</f>
        <v>0</v>
      </c>
      <c r="V103" s="834"/>
      <c r="W103" s="837">
        <f t="shared" si="15"/>
        <v>0</v>
      </c>
      <c r="X103" s="838"/>
      <c r="Z103" s="345" t="s">
        <v>3137</v>
      </c>
    </row>
    <row r="104" spans="1:26" ht="9.75">
      <c r="A104" s="829">
        <f>IF('Bridge Quantities'!CA38&gt;0,'Bridge Quantities'!CA3,0)</f>
        <v>0</v>
      </c>
      <c r="B104" s="830"/>
      <c r="C104" s="830"/>
      <c r="D104" s="830"/>
      <c r="E104" s="831"/>
      <c r="F104" s="50">
        <f>IF('Bridge Quantities'!$CA$38&gt;0,'Bridge Quantities'!$CA$4,0)</f>
        <v>0</v>
      </c>
      <c r="G104" s="288">
        <f>IF('Bridge Quantities'!CA38&gt;0,'Bridge Quantities'!CA5,0)</f>
        <v>0</v>
      </c>
      <c r="H104" s="289">
        <f>IF('Bridge Quantities'!CA38&gt;0,'Bridge Quantities'!CA6,0)</f>
        <v>0</v>
      </c>
      <c r="I104" s="832">
        <f t="shared" si="21"/>
        <v>0</v>
      </c>
      <c r="J104" s="833"/>
      <c r="K104" s="289">
        <f>IF('Bridge Quantities'!CA38&gt;0,'Bridge Quantities'!CA38-'Bridge Quantities'!CA6,0)</f>
        <v>0</v>
      </c>
      <c r="L104" s="832">
        <f t="shared" si="23"/>
        <v>0</v>
      </c>
      <c r="M104" s="834"/>
      <c r="N104" s="837">
        <f t="shared" si="13"/>
        <v>0</v>
      </c>
      <c r="O104" s="838"/>
      <c r="P104" s="290"/>
      <c r="Q104" s="289">
        <f t="shared" si="22"/>
        <v>0</v>
      </c>
      <c r="R104" s="832">
        <f t="shared" si="14"/>
        <v>0</v>
      </c>
      <c r="S104" s="833"/>
      <c r="T104" s="289">
        <f t="shared" si="24"/>
        <v>0</v>
      </c>
      <c r="U104" s="832">
        <f t="shared" si="25"/>
        <v>0</v>
      </c>
      <c r="V104" s="834"/>
      <c r="W104" s="837">
        <f t="shared" si="15"/>
        <v>0</v>
      </c>
      <c r="X104" s="838"/>
      <c r="Z104" s="345" t="s">
        <v>3138</v>
      </c>
    </row>
    <row r="105" spans="1:26" ht="9.75">
      <c r="A105" s="829">
        <f>IF('Bridge Quantities'!AC38&gt;0,'Bridge Quantities'!AC3,0)</f>
        <v>0</v>
      </c>
      <c r="B105" s="830"/>
      <c r="C105" s="830"/>
      <c r="D105" s="830"/>
      <c r="E105" s="831"/>
      <c r="F105" s="50">
        <f>IF('Bridge Quantities'!$AC$38&gt;0,'Bridge Quantities'!$AC$4,0)</f>
        <v>0</v>
      </c>
      <c r="G105" s="288">
        <f>IF('Bridge Quantities'!AC38&gt;0,'Bridge Quantities'!AC5,0)</f>
        <v>0</v>
      </c>
      <c r="H105" s="289">
        <f>IF('Bridge Quantities'!AC38&gt;0,'Bridge Quantities'!AC6-IF(A105=A27,H27,0),0)</f>
        <v>0</v>
      </c>
      <c r="I105" s="832">
        <f t="shared" si="21"/>
        <v>0</v>
      </c>
      <c r="J105" s="833"/>
      <c r="K105" s="289">
        <f>IF('Bridge Quantities'!AC38&gt;0,'Bridge Quantities'!AC38-'Bridge Quantities'!AC6-IF(A105=A27,K27,0),0)</f>
        <v>0</v>
      </c>
      <c r="L105" s="832">
        <f t="shared" si="23"/>
        <v>0</v>
      </c>
      <c r="M105" s="834"/>
      <c r="N105" s="837">
        <f t="shared" si="13"/>
        <v>0</v>
      </c>
      <c r="O105" s="838"/>
      <c r="P105" s="287"/>
      <c r="Q105" s="289">
        <f t="shared" si="22"/>
        <v>0</v>
      </c>
      <c r="R105" s="832">
        <f t="shared" si="14"/>
        <v>0</v>
      </c>
      <c r="S105" s="833"/>
      <c r="T105" s="289">
        <f t="shared" si="24"/>
        <v>0</v>
      </c>
      <c r="U105" s="832">
        <f t="shared" si="25"/>
        <v>0</v>
      </c>
      <c r="V105" s="834"/>
      <c r="W105" s="837">
        <f t="shared" si="15"/>
        <v>0</v>
      </c>
      <c r="X105" s="838"/>
      <c r="Z105" s="345" t="s">
        <v>3242</v>
      </c>
    </row>
    <row r="106" spans="1:26" ht="9.75">
      <c r="A106" s="829">
        <f>IF('Bridge Quantities'!CB38&gt;0,'Bridge Quantities'!CB3,0)</f>
        <v>0</v>
      </c>
      <c r="B106" s="830"/>
      <c r="C106" s="830"/>
      <c r="D106" s="830"/>
      <c r="E106" s="831"/>
      <c r="F106" s="50">
        <f>IF('Bridge Quantities'!$CB$38&gt;0,'Bridge Quantities'!$CB$4,0)</f>
        <v>0</v>
      </c>
      <c r="G106" s="288">
        <f>IF('Bridge Quantities'!CB38&gt;0,'Bridge Quantities'!CB5,0)</f>
        <v>0</v>
      </c>
      <c r="H106" s="289">
        <f>IF('Bridge Quantities'!CB38&gt;0,'Bridge Quantities'!CB6,0)</f>
        <v>0</v>
      </c>
      <c r="I106" s="832">
        <f t="shared" si="21"/>
        <v>0</v>
      </c>
      <c r="J106" s="833"/>
      <c r="K106" s="289">
        <f>IF('Bridge Quantities'!CB38&gt;0,'Bridge Quantities'!CB38-'Bridge Quantities'!CB6,0)</f>
        <v>0</v>
      </c>
      <c r="L106" s="832">
        <f t="shared" si="23"/>
        <v>0</v>
      </c>
      <c r="M106" s="834"/>
      <c r="N106" s="837">
        <f t="shared" si="13"/>
        <v>0</v>
      </c>
      <c r="O106" s="838"/>
      <c r="P106" s="290"/>
      <c r="Q106" s="289">
        <f t="shared" si="22"/>
        <v>0</v>
      </c>
      <c r="R106" s="832">
        <f t="shared" si="14"/>
        <v>0</v>
      </c>
      <c r="S106" s="833"/>
      <c r="T106" s="289">
        <f t="shared" si="24"/>
        <v>0</v>
      </c>
      <c r="U106" s="832">
        <f t="shared" si="25"/>
        <v>0</v>
      </c>
      <c r="V106" s="834"/>
      <c r="W106" s="837">
        <f t="shared" si="15"/>
        <v>0</v>
      </c>
      <c r="X106" s="838"/>
      <c r="Z106" s="345" t="s">
        <v>3842</v>
      </c>
    </row>
    <row r="107" spans="1:26" ht="9.75">
      <c r="A107" s="829">
        <f>IF('Bridge Quantities'!CC38&gt;0,'Bridge Quantities'!CC3,0)</f>
        <v>0</v>
      </c>
      <c r="B107" s="830"/>
      <c r="C107" s="830"/>
      <c r="D107" s="830"/>
      <c r="E107" s="831"/>
      <c r="F107" s="50">
        <f>IF('Bridge Quantities'!$CC$38&gt;0,'Bridge Quantities'!$CC$4,0)</f>
        <v>0</v>
      </c>
      <c r="G107" s="288">
        <f>IF('Bridge Quantities'!CC38&gt;0,'Bridge Quantities'!CC5,0)</f>
        <v>0</v>
      </c>
      <c r="H107" s="289">
        <f>IF('Bridge Quantities'!CC38&gt;0,'Bridge Quantities'!CC6,0)</f>
        <v>0</v>
      </c>
      <c r="I107" s="832">
        <f t="shared" si="21"/>
        <v>0</v>
      </c>
      <c r="J107" s="833"/>
      <c r="K107" s="289">
        <f>IF('Bridge Quantities'!CC38&gt;0,'Bridge Quantities'!CC38-'Bridge Quantities'!CC6,0)</f>
        <v>0</v>
      </c>
      <c r="L107" s="832">
        <f t="shared" si="23"/>
        <v>0</v>
      </c>
      <c r="M107" s="834"/>
      <c r="N107" s="837">
        <f t="shared" si="13"/>
        <v>0</v>
      </c>
      <c r="O107" s="838"/>
      <c r="P107" s="290"/>
      <c r="Q107" s="289">
        <f t="shared" si="22"/>
        <v>0</v>
      </c>
      <c r="R107" s="832">
        <f t="shared" si="14"/>
        <v>0</v>
      </c>
      <c r="S107" s="833"/>
      <c r="T107" s="289">
        <f t="shared" si="24"/>
        <v>0</v>
      </c>
      <c r="U107" s="832">
        <f t="shared" si="25"/>
        <v>0</v>
      </c>
      <c r="V107" s="834"/>
      <c r="W107" s="837">
        <f t="shared" si="15"/>
        <v>0</v>
      </c>
      <c r="X107" s="838"/>
      <c r="Z107" s="345" t="s">
        <v>3843</v>
      </c>
    </row>
    <row r="108" spans="1:26" ht="9.75">
      <c r="A108" s="829">
        <f>IF('Bridge Quantities'!CD38&gt;0,'Bridge Quantities'!CD3,0)</f>
        <v>0</v>
      </c>
      <c r="B108" s="830"/>
      <c r="C108" s="830"/>
      <c r="D108" s="830"/>
      <c r="E108" s="831"/>
      <c r="F108" s="50">
        <f>IF('Bridge Quantities'!$CD$38&gt;0,'Bridge Quantities'!$CD$4,0)</f>
        <v>0</v>
      </c>
      <c r="G108" s="288">
        <f>IF('Bridge Quantities'!CD38&gt;0,'Bridge Quantities'!CD5,0)</f>
        <v>0</v>
      </c>
      <c r="H108" s="289">
        <f>IF('Bridge Quantities'!CD38&gt;0,'Bridge Quantities'!CD6,0)</f>
        <v>0</v>
      </c>
      <c r="I108" s="832">
        <f t="shared" si="21"/>
        <v>0</v>
      </c>
      <c r="J108" s="833"/>
      <c r="K108" s="289">
        <f>IF('Bridge Quantities'!CD38&gt;0,'Bridge Quantities'!CD38-'Bridge Quantities'!CD6,0)</f>
        <v>0</v>
      </c>
      <c r="L108" s="832">
        <f t="shared" si="23"/>
        <v>0</v>
      </c>
      <c r="M108" s="834"/>
      <c r="N108" s="837">
        <f t="shared" si="13"/>
        <v>0</v>
      </c>
      <c r="O108" s="838"/>
      <c r="P108" s="287"/>
      <c r="Q108" s="289">
        <f t="shared" si="22"/>
        <v>0</v>
      </c>
      <c r="R108" s="832">
        <f t="shared" si="14"/>
        <v>0</v>
      </c>
      <c r="S108" s="833"/>
      <c r="T108" s="289">
        <f t="shared" si="24"/>
        <v>0</v>
      </c>
      <c r="U108" s="832">
        <f t="shared" si="25"/>
        <v>0</v>
      </c>
      <c r="V108" s="834"/>
      <c r="W108" s="837">
        <f t="shared" si="15"/>
        <v>0</v>
      </c>
      <c r="X108" s="838"/>
      <c r="Z108" s="345" t="s">
        <v>3844</v>
      </c>
    </row>
    <row r="109" spans="1:26" ht="9.75">
      <c r="A109" s="829">
        <f>IF('Bridge Quantities'!CE38&gt;0,'Bridge Quantities'!CE3,0)</f>
        <v>0</v>
      </c>
      <c r="B109" s="830"/>
      <c r="C109" s="830"/>
      <c r="D109" s="830"/>
      <c r="E109" s="831"/>
      <c r="F109" s="50">
        <f>IF('Bridge Quantities'!$CE$38&gt;0,'Bridge Quantities'!$CE$4,0)</f>
        <v>0</v>
      </c>
      <c r="G109" s="288">
        <f>IF('Bridge Quantities'!CE38&gt;0,'Bridge Quantities'!CE5,0)</f>
        <v>0</v>
      </c>
      <c r="H109" s="289">
        <f>IF('Bridge Quantities'!CE38&gt;0,'Bridge Quantities'!CE6,0)</f>
        <v>0</v>
      </c>
      <c r="I109" s="832">
        <f t="shared" si="21"/>
        <v>0</v>
      </c>
      <c r="J109" s="833"/>
      <c r="K109" s="289">
        <f>IF('Bridge Quantities'!CE38&gt;0,'Bridge Quantities'!CE38-'Bridge Quantities'!CE6,0)</f>
        <v>0</v>
      </c>
      <c r="L109" s="832">
        <f t="shared" si="23"/>
        <v>0</v>
      </c>
      <c r="M109" s="834"/>
      <c r="N109" s="837">
        <f t="shared" si="13"/>
        <v>0</v>
      </c>
      <c r="O109" s="838"/>
      <c r="P109" s="290"/>
      <c r="Q109" s="289">
        <f t="shared" si="22"/>
        <v>0</v>
      </c>
      <c r="R109" s="832">
        <f t="shared" si="14"/>
        <v>0</v>
      </c>
      <c r="S109" s="833"/>
      <c r="T109" s="289">
        <f t="shared" si="24"/>
        <v>0</v>
      </c>
      <c r="U109" s="832">
        <f t="shared" si="25"/>
        <v>0</v>
      </c>
      <c r="V109" s="834"/>
      <c r="W109" s="837">
        <f t="shared" si="15"/>
        <v>0</v>
      </c>
      <c r="X109" s="838"/>
      <c r="Z109" s="345" t="s">
        <v>3845</v>
      </c>
    </row>
    <row r="110" spans="1:26" ht="9.75">
      <c r="A110" s="829">
        <f>IF('Bridge Quantities'!CF38&gt;0,'Bridge Quantities'!CF3,0)</f>
        <v>0</v>
      </c>
      <c r="B110" s="830"/>
      <c r="C110" s="830"/>
      <c r="D110" s="830"/>
      <c r="E110" s="831"/>
      <c r="F110" s="50">
        <f>IF('Bridge Quantities'!$CF$38&gt;0,'Bridge Quantities'!$CF$4,0)</f>
        <v>0</v>
      </c>
      <c r="G110" s="288">
        <f>IF('Bridge Quantities'!CF38&gt;0,'Bridge Quantities'!CF5,0)</f>
        <v>0</v>
      </c>
      <c r="H110" s="289">
        <f>IF('Bridge Quantities'!CF38&gt;0,'Bridge Quantities'!CF6,0)</f>
        <v>0</v>
      </c>
      <c r="I110" s="832">
        <f t="shared" si="21"/>
        <v>0</v>
      </c>
      <c r="J110" s="833"/>
      <c r="K110" s="289">
        <f>IF('Bridge Quantities'!CF38&gt;0,'Bridge Quantities'!CF38-'Bridge Quantities'!CF6,0)</f>
        <v>0</v>
      </c>
      <c r="L110" s="832">
        <f t="shared" si="23"/>
        <v>0</v>
      </c>
      <c r="M110" s="834"/>
      <c r="N110" s="837">
        <f t="shared" si="13"/>
        <v>0</v>
      </c>
      <c r="O110" s="838"/>
      <c r="P110" s="290"/>
      <c r="Q110" s="289">
        <f t="shared" si="22"/>
        <v>0</v>
      </c>
      <c r="R110" s="832">
        <f t="shared" si="14"/>
        <v>0</v>
      </c>
      <c r="S110" s="833"/>
      <c r="T110" s="289">
        <f t="shared" si="24"/>
        <v>0</v>
      </c>
      <c r="U110" s="832">
        <f t="shared" si="25"/>
        <v>0</v>
      </c>
      <c r="V110" s="834"/>
      <c r="W110" s="837">
        <f t="shared" si="15"/>
        <v>0</v>
      </c>
      <c r="X110" s="838"/>
      <c r="Z110" s="345" t="s">
        <v>3846</v>
      </c>
    </row>
    <row r="111" spans="1:26" ht="9.75">
      <c r="A111" s="829">
        <f>IF('Bridge Quantities'!CG38&gt;0,'Bridge Quantities'!CG3,0)</f>
        <v>0</v>
      </c>
      <c r="B111" s="830"/>
      <c r="C111" s="830"/>
      <c r="D111" s="830"/>
      <c r="E111" s="831"/>
      <c r="F111" s="50">
        <f>IF('Bridge Quantities'!$CG$38&gt;0,'Bridge Quantities'!$CG$4,0)</f>
        <v>0</v>
      </c>
      <c r="G111" s="288">
        <f>IF('Bridge Quantities'!CG38&gt;0,'Bridge Quantities'!CG5,0)</f>
        <v>0</v>
      </c>
      <c r="H111" s="289">
        <f>IF('Bridge Quantities'!CG38&gt;0,'Bridge Quantities'!CG6,0)</f>
        <v>0</v>
      </c>
      <c r="I111" s="832">
        <f t="shared" si="21"/>
        <v>0</v>
      </c>
      <c r="J111" s="833"/>
      <c r="K111" s="289">
        <f>IF('Bridge Quantities'!CG38&gt;0,'Bridge Quantities'!CG38-'Bridge Quantities'!CG6,0)</f>
        <v>0</v>
      </c>
      <c r="L111" s="832">
        <f t="shared" si="23"/>
        <v>0</v>
      </c>
      <c r="M111" s="834"/>
      <c r="N111" s="837">
        <f t="shared" si="13"/>
        <v>0</v>
      </c>
      <c r="O111" s="838"/>
      <c r="P111" s="287"/>
      <c r="Q111" s="289">
        <f t="shared" si="22"/>
        <v>0</v>
      </c>
      <c r="R111" s="832">
        <f t="shared" si="14"/>
        <v>0</v>
      </c>
      <c r="S111" s="833"/>
      <c r="T111" s="289">
        <f t="shared" si="24"/>
        <v>0</v>
      </c>
      <c r="U111" s="832">
        <f t="shared" si="25"/>
        <v>0</v>
      </c>
      <c r="V111" s="834"/>
      <c r="W111" s="837">
        <f t="shared" si="15"/>
        <v>0</v>
      </c>
      <c r="X111" s="838"/>
      <c r="Z111" s="345" t="s">
        <v>3847</v>
      </c>
    </row>
    <row r="112" spans="1:26" ht="9.75">
      <c r="A112" s="829">
        <f>IF('Bridge Quantities'!CH38&gt;0,'Bridge Quantities'!CH3,0)</f>
        <v>0</v>
      </c>
      <c r="B112" s="830"/>
      <c r="C112" s="830"/>
      <c r="D112" s="830"/>
      <c r="E112" s="831"/>
      <c r="F112" s="50">
        <f>IF('Bridge Quantities'!$CH$38&gt;0,'Bridge Quantities'!$CH$4,0)</f>
        <v>0</v>
      </c>
      <c r="G112" s="288">
        <f>IF('Bridge Quantities'!CH38&gt;0,'Bridge Quantities'!CH5,0)</f>
        <v>0</v>
      </c>
      <c r="H112" s="289">
        <f>IF('Bridge Quantities'!CH38&gt;0,'Bridge Quantities'!CH6,0)</f>
        <v>0</v>
      </c>
      <c r="I112" s="832">
        <f t="shared" si="21"/>
        <v>0</v>
      </c>
      <c r="J112" s="833"/>
      <c r="K112" s="289">
        <f>IF('Bridge Quantities'!CH38&gt;0,'Bridge Quantities'!CH38-'Bridge Quantities'!CH6,0)</f>
        <v>0</v>
      </c>
      <c r="L112" s="832">
        <f t="shared" si="23"/>
        <v>0</v>
      </c>
      <c r="M112" s="834"/>
      <c r="N112" s="837">
        <f t="shared" si="13"/>
        <v>0</v>
      </c>
      <c r="O112" s="838"/>
      <c r="P112" s="290"/>
      <c r="Q112" s="289">
        <f t="shared" si="22"/>
        <v>0</v>
      </c>
      <c r="R112" s="832">
        <f t="shared" si="14"/>
        <v>0</v>
      </c>
      <c r="S112" s="833"/>
      <c r="T112" s="289">
        <f t="shared" si="24"/>
        <v>0</v>
      </c>
      <c r="U112" s="832">
        <f t="shared" si="25"/>
        <v>0</v>
      </c>
      <c r="V112" s="834"/>
      <c r="W112" s="837">
        <f t="shared" si="15"/>
        <v>0</v>
      </c>
      <c r="X112" s="838"/>
      <c r="Z112" s="345" t="s">
        <v>3848</v>
      </c>
    </row>
    <row r="113" spans="1:26" ht="9.75">
      <c r="A113" s="829">
        <f>IF('Bridge Quantities'!CI38&gt;0,'Bridge Quantities'!CI3,0)</f>
        <v>0</v>
      </c>
      <c r="B113" s="830"/>
      <c r="C113" s="830"/>
      <c r="D113" s="830"/>
      <c r="E113" s="831"/>
      <c r="F113" s="50">
        <f>IF('Bridge Quantities'!$CI$38&gt;0,'Bridge Quantities'!$CI$4,0)</f>
        <v>0</v>
      </c>
      <c r="G113" s="288">
        <f>IF('Bridge Quantities'!CI38&gt;0,'Bridge Quantities'!CI5,0)</f>
        <v>0</v>
      </c>
      <c r="H113" s="289">
        <f>IF('Bridge Quantities'!CI38&gt;0,'Bridge Quantities'!CI6,0)</f>
        <v>0</v>
      </c>
      <c r="I113" s="832">
        <f t="shared" si="21"/>
        <v>0</v>
      </c>
      <c r="J113" s="833"/>
      <c r="K113" s="289">
        <f>IF('Bridge Quantities'!CI38&gt;0,'Bridge Quantities'!CI38-'Bridge Quantities'!CI6,0)</f>
        <v>0</v>
      </c>
      <c r="L113" s="832">
        <f t="shared" si="23"/>
        <v>0</v>
      </c>
      <c r="M113" s="834"/>
      <c r="N113" s="837">
        <f t="shared" si="13"/>
        <v>0</v>
      </c>
      <c r="O113" s="838"/>
      <c r="P113" s="290"/>
      <c r="Q113" s="289">
        <f t="shared" si="22"/>
        <v>0</v>
      </c>
      <c r="R113" s="832">
        <f t="shared" si="14"/>
        <v>0</v>
      </c>
      <c r="S113" s="833"/>
      <c r="T113" s="289">
        <f t="shared" si="24"/>
        <v>0</v>
      </c>
      <c r="U113" s="832">
        <f t="shared" si="25"/>
        <v>0</v>
      </c>
      <c r="V113" s="834"/>
      <c r="W113" s="837">
        <f t="shared" si="15"/>
        <v>0</v>
      </c>
      <c r="X113" s="838"/>
      <c r="Z113" s="345" t="s">
        <v>3849</v>
      </c>
    </row>
    <row r="114" spans="1:26" ht="9.75">
      <c r="A114" s="829">
        <f>IF('Bridge Quantities'!CJ38&gt;0,'Bridge Quantities'!CJ3,0)</f>
        <v>0</v>
      </c>
      <c r="B114" s="830"/>
      <c r="C114" s="830"/>
      <c r="D114" s="830"/>
      <c r="E114" s="831"/>
      <c r="F114" s="50">
        <f>IF('Bridge Quantities'!$CJ$38&gt;0,'Bridge Quantities'!$CJ$4,0)</f>
        <v>0</v>
      </c>
      <c r="G114" s="288">
        <f>IF('Bridge Quantities'!CJ38&gt;0,'Bridge Quantities'!CJ5,0)</f>
        <v>0</v>
      </c>
      <c r="H114" s="289">
        <f>IF('Bridge Quantities'!CJ38&gt;0,'Bridge Quantities'!CJ6,0)</f>
        <v>0</v>
      </c>
      <c r="I114" s="832">
        <f t="shared" si="21"/>
        <v>0</v>
      </c>
      <c r="J114" s="833"/>
      <c r="K114" s="289">
        <f>IF('Bridge Quantities'!CJ38&gt;0,'Bridge Quantities'!CJ38-'Bridge Quantities'!CJ6,0)</f>
        <v>0</v>
      </c>
      <c r="L114" s="832">
        <f t="shared" si="23"/>
        <v>0</v>
      </c>
      <c r="M114" s="834"/>
      <c r="N114" s="837">
        <f t="shared" si="13"/>
        <v>0</v>
      </c>
      <c r="O114" s="838"/>
      <c r="P114" s="287"/>
      <c r="Q114" s="289">
        <f t="shared" si="22"/>
        <v>0</v>
      </c>
      <c r="R114" s="832">
        <f t="shared" si="14"/>
        <v>0</v>
      </c>
      <c r="S114" s="833"/>
      <c r="T114" s="289">
        <f t="shared" si="24"/>
        <v>0</v>
      </c>
      <c r="U114" s="832">
        <f t="shared" si="25"/>
        <v>0</v>
      </c>
      <c r="V114" s="834"/>
      <c r="W114" s="837">
        <f t="shared" si="15"/>
        <v>0</v>
      </c>
      <c r="X114" s="838"/>
      <c r="Z114" s="345" t="s">
        <v>3850</v>
      </c>
    </row>
    <row r="115" spans="1:26" ht="9.75">
      <c r="A115" s="829">
        <f>IF('Bridge Quantities'!CK38&gt;0,'Bridge Quantities'!CK3,0)</f>
        <v>0</v>
      </c>
      <c r="B115" s="830"/>
      <c r="C115" s="830"/>
      <c r="D115" s="830"/>
      <c r="E115" s="831"/>
      <c r="F115" s="50">
        <f>IF('Bridge Quantities'!$CK$38&gt;0,'Bridge Quantities'!$CK$4,0)</f>
        <v>0</v>
      </c>
      <c r="G115" s="288">
        <f>IF('Bridge Quantities'!CK38&gt;0,'Bridge Quantities'!CK5,0)</f>
        <v>0</v>
      </c>
      <c r="H115" s="289">
        <f>IF('Bridge Quantities'!CK38&gt;0,'Bridge Quantities'!CK6,0)</f>
        <v>0</v>
      </c>
      <c r="I115" s="832">
        <f t="shared" si="21"/>
        <v>0</v>
      </c>
      <c r="J115" s="833"/>
      <c r="K115" s="289">
        <f>IF('Bridge Quantities'!CK38&gt;0,'Bridge Quantities'!CK38-'Bridge Quantities'!CK6,0)</f>
        <v>0</v>
      </c>
      <c r="L115" s="832">
        <f t="shared" si="23"/>
        <v>0</v>
      </c>
      <c r="M115" s="834"/>
      <c r="N115" s="837">
        <f t="shared" si="13"/>
        <v>0</v>
      </c>
      <c r="O115" s="838"/>
      <c r="P115" s="290"/>
      <c r="Q115" s="289">
        <f t="shared" si="22"/>
        <v>0</v>
      </c>
      <c r="R115" s="832">
        <f t="shared" si="14"/>
        <v>0</v>
      </c>
      <c r="S115" s="833"/>
      <c r="T115" s="289">
        <f t="shared" si="24"/>
        <v>0</v>
      </c>
      <c r="U115" s="832">
        <f t="shared" si="25"/>
        <v>0</v>
      </c>
      <c r="V115" s="834"/>
      <c r="W115" s="837">
        <f t="shared" si="15"/>
        <v>0</v>
      </c>
      <c r="X115" s="838"/>
      <c r="Z115" s="345" t="s">
        <v>3851</v>
      </c>
    </row>
    <row r="116" spans="1:26" ht="9.75">
      <c r="A116" s="829">
        <f>IF('Bridge Quantities'!CL38&gt;0,'Bridge Quantities'!CL3,0)</f>
        <v>0</v>
      </c>
      <c r="B116" s="830"/>
      <c r="C116" s="830"/>
      <c r="D116" s="830"/>
      <c r="E116" s="831"/>
      <c r="F116" s="50">
        <f>IF('Bridge Quantities'!$CL$38&gt;0,'Bridge Quantities'!$CL$4,0)</f>
        <v>0</v>
      </c>
      <c r="G116" s="288">
        <f>IF('Bridge Quantities'!CL38&gt;0,'Bridge Quantities'!CL5,0)</f>
        <v>0</v>
      </c>
      <c r="H116" s="289">
        <f>IF('Bridge Quantities'!CL38&gt;0,'Bridge Quantities'!CL6,0)</f>
        <v>0</v>
      </c>
      <c r="I116" s="832">
        <f t="shared" si="21"/>
        <v>0</v>
      </c>
      <c r="J116" s="833"/>
      <c r="K116" s="289">
        <f>IF('Bridge Quantities'!CL38&gt;0,'Bridge Quantities'!CL38-'Bridge Quantities'!CL6,0)</f>
        <v>0</v>
      </c>
      <c r="L116" s="832">
        <f t="shared" si="23"/>
        <v>0</v>
      </c>
      <c r="M116" s="834"/>
      <c r="N116" s="837">
        <f t="shared" si="13"/>
        <v>0</v>
      </c>
      <c r="O116" s="838"/>
      <c r="P116" s="290"/>
      <c r="Q116" s="289">
        <f t="shared" si="22"/>
        <v>0</v>
      </c>
      <c r="R116" s="832">
        <f t="shared" si="14"/>
        <v>0</v>
      </c>
      <c r="S116" s="833"/>
      <c r="T116" s="289">
        <f t="shared" si="24"/>
        <v>0</v>
      </c>
      <c r="U116" s="832">
        <f t="shared" si="25"/>
        <v>0</v>
      </c>
      <c r="V116" s="834"/>
      <c r="W116" s="837">
        <f t="shared" si="15"/>
        <v>0</v>
      </c>
      <c r="X116" s="838"/>
      <c r="Z116" s="345" t="s">
        <v>3852</v>
      </c>
    </row>
    <row r="117" spans="1:26" ht="10.5" thickBot="1">
      <c r="A117" s="829">
        <f>IF('Bridge Quantities'!CM38&gt;0,'Bridge Quantities'!CM3,0)</f>
        <v>0</v>
      </c>
      <c r="B117" s="830"/>
      <c r="C117" s="830"/>
      <c r="D117" s="830"/>
      <c r="E117" s="831"/>
      <c r="F117" s="50">
        <f>IF('Bridge Quantities'!$CM$38&gt;0,'Bridge Quantities'!$CM$4,0)</f>
        <v>0</v>
      </c>
      <c r="G117" s="288">
        <f>IF('Bridge Quantities'!CM38&gt;0,'Bridge Quantities'!CM5,0)</f>
        <v>0</v>
      </c>
      <c r="H117" s="289">
        <f>IF('Bridge Quantities'!CM38&gt;0,'Bridge Quantities'!CM6,0)</f>
        <v>0</v>
      </c>
      <c r="I117" s="832">
        <f t="shared" si="21"/>
        <v>0</v>
      </c>
      <c r="J117" s="833"/>
      <c r="K117" s="289">
        <f>IF('Bridge Quantities'!CM38&gt;0,'Bridge Quantities'!CM38-'Bridge Quantities'!CM6,0)</f>
        <v>0</v>
      </c>
      <c r="L117" s="832">
        <f t="shared" si="23"/>
        <v>0</v>
      </c>
      <c r="M117" s="834"/>
      <c r="N117" s="837">
        <f t="shared" si="13"/>
        <v>0</v>
      </c>
      <c r="O117" s="838"/>
      <c r="P117" s="287"/>
      <c r="Q117" s="289">
        <f t="shared" si="22"/>
        <v>0</v>
      </c>
      <c r="R117" s="832">
        <f t="shared" si="14"/>
        <v>0</v>
      </c>
      <c r="S117" s="833"/>
      <c r="T117" s="289">
        <f t="shared" si="24"/>
        <v>0</v>
      </c>
      <c r="U117" s="832">
        <f t="shared" si="25"/>
        <v>0</v>
      </c>
      <c r="V117" s="834"/>
      <c r="W117" s="837">
        <f t="shared" si="15"/>
        <v>0</v>
      </c>
      <c r="X117" s="838"/>
      <c r="Z117" s="345" t="s">
        <v>3853</v>
      </c>
    </row>
    <row r="118" spans="1:24" ht="10.5" thickTop="1">
      <c r="A118" s="960" t="s">
        <v>2450</v>
      </c>
      <c r="B118" s="961"/>
      <c r="C118" s="961"/>
      <c r="D118" s="961"/>
      <c r="E118" s="962"/>
      <c r="F118" s="135" t="s">
        <v>2054</v>
      </c>
      <c r="G118" s="292" t="s">
        <v>2054</v>
      </c>
      <c r="H118" s="293" t="s">
        <v>2054</v>
      </c>
      <c r="I118" s="963">
        <f>SUM(I53:I117)</f>
        <v>0</v>
      </c>
      <c r="J118" s="964"/>
      <c r="K118" s="293" t="s">
        <v>2054</v>
      </c>
      <c r="L118" s="963">
        <f>SUM(L53:L117)</f>
        <v>0</v>
      </c>
      <c r="M118" s="964"/>
      <c r="N118" s="963">
        <f>SUM(N53:N117)</f>
        <v>0</v>
      </c>
      <c r="O118" s="964"/>
      <c r="P118" s="294" t="s">
        <v>2054</v>
      </c>
      <c r="Q118" s="293" t="s">
        <v>2054</v>
      </c>
      <c r="R118" s="963">
        <f>SUM(R53:R117)</f>
        <v>0</v>
      </c>
      <c r="S118" s="964"/>
      <c r="T118" s="293" t="s">
        <v>2054</v>
      </c>
      <c r="U118" s="963">
        <f>SUM(U53:U117)</f>
        <v>0</v>
      </c>
      <c r="V118" s="964"/>
      <c r="W118" s="963">
        <f>SUM(W53:W117)</f>
        <v>0</v>
      </c>
      <c r="X118" s="964"/>
    </row>
  </sheetData>
  <sheetProtection password="CBEB" sheet="1" objects="1" scenarios="1"/>
  <mergeCells count="714">
    <mergeCell ref="A113:E113"/>
    <mergeCell ref="W46:X46"/>
    <mergeCell ref="U63:V63"/>
    <mergeCell ref="W63:X63"/>
    <mergeCell ref="W61:X61"/>
    <mergeCell ref="W57:X57"/>
    <mergeCell ref="U48:V48"/>
    <mergeCell ref="W113:X113"/>
    <mergeCell ref="U59:V59"/>
    <mergeCell ref="U58:V58"/>
    <mergeCell ref="W58:X58"/>
    <mergeCell ref="R58:S58"/>
    <mergeCell ref="R60:S60"/>
    <mergeCell ref="I114:J114"/>
    <mergeCell ref="R114:S114"/>
    <mergeCell ref="L113:M113"/>
    <mergeCell ref="U114:V114"/>
    <mergeCell ref="W114:X114"/>
    <mergeCell ref="N113:O113"/>
    <mergeCell ref="N114:O114"/>
    <mergeCell ref="W118:X118"/>
    <mergeCell ref="R117:S117"/>
    <mergeCell ref="U117:V117"/>
    <mergeCell ref="W117:X117"/>
    <mergeCell ref="R118:S118"/>
    <mergeCell ref="U118:V118"/>
    <mergeCell ref="A117:E117"/>
    <mergeCell ref="I117:J117"/>
    <mergeCell ref="L117:M117"/>
    <mergeCell ref="N117:O117"/>
    <mergeCell ref="A118:E118"/>
    <mergeCell ref="I118:J118"/>
    <mergeCell ref="L118:M118"/>
    <mergeCell ref="N118:O118"/>
    <mergeCell ref="U116:V116"/>
    <mergeCell ref="W116:X116"/>
    <mergeCell ref="R115:S115"/>
    <mergeCell ref="U115:V115"/>
    <mergeCell ref="N115:O115"/>
    <mergeCell ref="N111:O111"/>
    <mergeCell ref="W111:X111"/>
    <mergeCell ref="W115:X115"/>
    <mergeCell ref="N116:O116"/>
    <mergeCell ref="R116:S116"/>
    <mergeCell ref="A116:E116"/>
    <mergeCell ref="I116:J116"/>
    <mergeCell ref="L116:M116"/>
    <mergeCell ref="A115:E115"/>
    <mergeCell ref="I115:J115"/>
    <mergeCell ref="L115:M115"/>
    <mergeCell ref="L114:M114"/>
    <mergeCell ref="A114:E114"/>
    <mergeCell ref="L112:M112"/>
    <mergeCell ref="N112:O112"/>
    <mergeCell ref="R111:S111"/>
    <mergeCell ref="U111:V111"/>
    <mergeCell ref="I113:J113"/>
    <mergeCell ref="L111:M111"/>
    <mergeCell ref="R113:S113"/>
    <mergeCell ref="U113:V113"/>
    <mergeCell ref="R112:S112"/>
    <mergeCell ref="U112:V112"/>
    <mergeCell ref="A109:E109"/>
    <mergeCell ref="I109:J109"/>
    <mergeCell ref="L109:M109"/>
    <mergeCell ref="N109:O109"/>
    <mergeCell ref="R110:S110"/>
    <mergeCell ref="U110:V110"/>
    <mergeCell ref="W112:X112"/>
    <mergeCell ref="A111:E111"/>
    <mergeCell ref="I111:J111"/>
    <mergeCell ref="A112:E112"/>
    <mergeCell ref="I112:J112"/>
    <mergeCell ref="W109:X109"/>
    <mergeCell ref="A110:E110"/>
    <mergeCell ref="I110:J110"/>
    <mergeCell ref="L110:M110"/>
    <mergeCell ref="N110:O110"/>
    <mergeCell ref="W110:X110"/>
    <mergeCell ref="L107:M107"/>
    <mergeCell ref="N107:O107"/>
    <mergeCell ref="R109:S109"/>
    <mergeCell ref="U109:V109"/>
    <mergeCell ref="A108:E108"/>
    <mergeCell ref="I108:J108"/>
    <mergeCell ref="L108:M108"/>
    <mergeCell ref="N108:O108"/>
    <mergeCell ref="R108:S108"/>
    <mergeCell ref="U108:V108"/>
    <mergeCell ref="R106:S106"/>
    <mergeCell ref="U106:V106"/>
    <mergeCell ref="W106:X106"/>
    <mergeCell ref="W107:X107"/>
    <mergeCell ref="R105:S105"/>
    <mergeCell ref="U105:V105"/>
    <mergeCell ref="W105:X105"/>
    <mergeCell ref="R107:S107"/>
    <mergeCell ref="U107:V107"/>
    <mergeCell ref="R104:S104"/>
    <mergeCell ref="U104:V104"/>
    <mergeCell ref="W108:X108"/>
    <mergeCell ref="A107:E107"/>
    <mergeCell ref="I107:J107"/>
    <mergeCell ref="A106:E106"/>
    <mergeCell ref="I106:J106"/>
    <mergeCell ref="L106:M106"/>
    <mergeCell ref="N106:O106"/>
    <mergeCell ref="N105:O105"/>
    <mergeCell ref="A104:E104"/>
    <mergeCell ref="I104:J104"/>
    <mergeCell ref="L104:M104"/>
    <mergeCell ref="N104:O104"/>
    <mergeCell ref="A105:E105"/>
    <mergeCell ref="I105:J105"/>
    <mergeCell ref="L105:M105"/>
    <mergeCell ref="A103:E103"/>
    <mergeCell ref="I103:J103"/>
    <mergeCell ref="L103:M103"/>
    <mergeCell ref="N103:O103"/>
    <mergeCell ref="R103:S103"/>
    <mergeCell ref="U103:V103"/>
    <mergeCell ref="A101:E101"/>
    <mergeCell ref="I101:J101"/>
    <mergeCell ref="L101:M101"/>
    <mergeCell ref="N101:O101"/>
    <mergeCell ref="R101:S101"/>
    <mergeCell ref="W102:X102"/>
    <mergeCell ref="A102:E102"/>
    <mergeCell ref="L102:M102"/>
    <mergeCell ref="R102:S102"/>
    <mergeCell ref="I102:J102"/>
    <mergeCell ref="U100:V100"/>
    <mergeCell ref="L100:M100"/>
    <mergeCell ref="N100:O100"/>
    <mergeCell ref="R98:S98"/>
    <mergeCell ref="W104:X104"/>
    <mergeCell ref="U102:V102"/>
    <mergeCell ref="W100:X100"/>
    <mergeCell ref="W103:X103"/>
    <mergeCell ref="N102:O102"/>
    <mergeCell ref="R100:S100"/>
    <mergeCell ref="U101:V101"/>
    <mergeCell ref="W101:X101"/>
    <mergeCell ref="A100:E100"/>
    <mergeCell ref="I100:J100"/>
    <mergeCell ref="U98:V98"/>
    <mergeCell ref="W98:X98"/>
    <mergeCell ref="A99:E99"/>
    <mergeCell ref="I99:J99"/>
    <mergeCell ref="L99:M99"/>
    <mergeCell ref="N99:O99"/>
    <mergeCell ref="R99:S99"/>
    <mergeCell ref="U99:V99"/>
    <mergeCell ref="W99:X99"/>
    <mergeCell ref="A98:E98"/>
    <mergeCell ref="I98:J98"/>
    <mergeCell ref="L98:M98"/>
    <mergeCell ref="N98:O98"/>
    <mergeCell ref="R96:S96"/>
    <mergeCell ref="I96:J96"/>
    <mergeCell ref="L96:M96"/>
    <mergeCell ref="N96:O96"/>
    <mergeCell ref="U96:V96"/>
    <mergeCell ref="W96:X96"/>
    <mergeCell ref="A97:E97"/>
    <mergeCell ref="I97:J97"/>
    <mergeCell ref="L97:M97"/>
    <mergeCell ref="N97:O97"/>
    <mergeCell ref="R97:S97"/>
    <mergeCell ref="U97:V97"/>
    <mergeCell ref="I93:J93"/>
    <mergeCell ref="L93:M93"/>
    <mergeCell ref="W97:X97"/>
    <mergeCell ref="A96:E96"/>
    <mergeCell ref="R94:S94"/>
    <mergeCell ref="U94:V94"/>
    <mergeCell ref="W94:X94"/>
    <mergeCell ref="A95:E95"/>
    <mergeCell ref="I95:J95"/>
    <mergeCell ref="L95:M95"/>
    <mergeCell ref="U95:V95"/>
    <mergeCell ref="W95:X95"/>
    <mergeCell ref="A94:E94"/>
    <mergeCell ref="I94:J94"/>
    <mergeCell ref="L94:M94"/>
    <mergeCell ref="N94:O94"/>
    <mergeCell ref="N95:O95"/>
    <mergeCell ref="R95:S95"/>
    <mergeCell ref="N93:O93"/>
    <mergeCell ref="R93:S93"/>
    <mergeCell ref="U93:V93"/>
    <mergeCell ref="W92:X92"/>
    <mergeCell ref="A92:E92"/>
    <mergeCell ref="I92:J92"/>
    <mergeCell ref="L92:M92"/>
    <mergeCell ref="N92:O92"/>
    <mergeCell ref="W93:X93"/>
    <mergeCell ref="A93:E93"/>
    <mergeCell ref="W91:X91"/>
    <mergeCell ref="R92:S92"/>
    <mergeCell ref="U92:V92"/>
    <mergeCell ref="A91:E91"/>
    <mergeCell ref="I91:J91"/>
    <mergeCell ref="L91:M91"/>
    <mergeCell ref="N91:O91"/>
    <mergeCell ref="R91:S91"/>
    <mergeCell ref="U91:V91"/>
    <mergeCell ref="W90:X90"/>
    <mergeCell ref="A88:E88"/>
    <mergeCell ref="I88:J88"/>
    <mergeCell ref="L88:M88"/>
    <mergeCell ref="N88:O88"/>
    <mergeCell ref="R90:S90"/>
    <mergeCell ref="U90:V90"/>
    <mergeCell ref="L90:M90"/>
    <mergeCell ref="N90:O90"/>
    <mergeCell ref="A90:E90"/>
    <mergeCell ref="I90:J90"/>
    <mergeCell ref="W88:X88"/>
    <mergeCell ref="A89:E89"/>
    <mergeCell ref="I89:J89"/>
    <mergeCell ref="L89:M89"/>
    <mergeCell ref="N89:O89"/>
    <mergeCell ref="R89:S89"/>
    <mergeCell ref="U89:V89"/>
    <mergeCell ref="W89:X89"/>
    <mergeCell ref="R88:S88"/>
    <mergeCell ref="U88:V88"/>
    <mergeCell ref="A87:E87"/>
    <mergeCell ref="I87:J87"/>
    <mergeCell ref="L87:M87"/>
    <mergeCell ref="N87:O87"/>
    <mergeCell ref="R87:S87"/>
    <mergeCell ref="U87:V87"/>
    <mergeCell ref="W85:X85"/>
    <mergeCell ref="W86:X86"/>
    <mergeCell ref="A84:E84"/>
    <mergeCell ref="I84:J84"/>
    <mergeCell ref="L84:M84"/>
    <mergeCell ref="N84:O84"/>
    <mergeCell ref="R86:S86"/>
    <mergeCell ref="U86:V86"/>
    <mergeCell ref="L86:M86"/>
    <mergeCell ref="N86:O86"/>
    <mergeCell ref="W87:X87"/>
    <mergeCell ref="A86:E86"/>
    <mergeCell ref="I86:J86"/>
    <mergeCell ref="W84:X84"/>
    <mergeCell ref="A85:E85"/>
    <mergeCell ref="I85:J85"/>
    <mergeCell ref="L85:M85"/>
    <mergeCell ref="N85:O85"/>
    <mergeCell ref="R85:S85"/>
    <mergeCell ref="U85:V85"/>
    <mergeCell ref="R84:S84"/>
    <mergeCell ref="U84:V84"/>
    <mergeCell ref="A83:E83"/>
    <mergeCell ref="I83:J83"/>
    <mergeCell ref="L83:M83"/>
    <mergeCell ref="N83:O83"/>
    <mergeCell ref="R83:S83"/>
    <mergeCell ref="U83:V83"/>
    <mergeCell ref="W81:X81"/>
    <mergeCell ref="W82:X82"/>
    <mergeCell ref="A80:E80"/>
    <mergeCell ref="I80:J80"/>
    <mergeCell ref="L80:M80"/>
    <mergeCell ref="N80:O80"/>
    <mergeCell ref="R82:S82"/>
    <mergeCell ref="U82:V82"/>
    <mergeCell ref="L82:M82"/>
    <mergeCell ref="N82:O82"/>
    <mergeCell ref="W83:X83"/>
    <mergeCell ref="A82:E82"/>
    <mergeCell ref="I82:J82"/>
    <mergeCell ref="W80:X80"/>
    <mergeCell ref="A81:E81"/>
    <mergeCell ref="I81:J81"/>
    <mergeCell ref="L81:M81"/>
    <mergeCell ref="N81:O81"/>
    <mergeCell ref="R81:S81"/>
    <mergeCell ref="U81:V81"/>
    <mergeCell ref="R80:S80"/>
    <mergeCell ref="U80:V80"/>
    <mergeCell ref="A79:E79"/>
    <mergeCell ref="I79:J79"/>
    <mergeCell ref="L79:M79"/>
    <mergeCell ref="N79:O79"/>
    <mergeCell ref="R79:S79"/>
    <mergeCell ref="U79:V79"/>
    <mergeCell ref="W77:X77"/>
    <mergeCell ref="W78:X78"/>
    <mergeCell ref="A76:E76"/>
    <mergeCell ref="I76:J76"/>
    <mergeCell ref="L76:M76"/>
    <mergeCell ref="N76:O76"/>
    <mergeCell ref="R78:S78"/>
    <mergeCell ref="U78:V78"/>
    <mergeCell ref="L78:M78"/>
    <mergeCell ref="N78:O78"/>
    <mergeCell ref="W79:X79"/>
    <mergeCell ref="A78:E78"/>
    <mergeCell ref="I78:J78"/>
    <mergeCell ref="W76:X76"/>
    <mergeCell ref="A77:E77"/>
    <mergeCell ref="I77:J77"/>
    <mergeCell ref="L77:M77"/>
    <mergeCell ref="N77:O77"/>
    <mergeCell ref="R77:S77"/>
    <mergeCell ref="U77:V77"/>
    <mergeCell ref="A75:E75"/>
    <mergeCell ref="A74:E74"/>
    <mergeCell ref="R76:S76"/>
    <mergeCell ref="U76:V76"/>
    <mergeCell ref="I75:J75"/>
    <mergeCell ref="L75:M75"/>
    <mergeCell ref="N75:O75"/>
    <mergeCell ref="R75:S75"/>
    <mergeCell ref="U75:V75"/>
    <mergeCell ref="U73:V73"/>
    <mergeCell ref="W73:X73"/>
    <mergeCell ref="W74:X74"/>
    <mergeCell ref="A72:E72"/>
    <mergeCell ref="I72:J72"/>
    <mergeCell ref="L72:M72"/>
    <mergeCell ref="N72:O72"/>
    <mergeCell ref="R74:S74"/>
    <mergeCell ref="U74:V74"/>
    <mergeCell ref="R72:S72"/>
    <mergeCell ref="W75:X75"/>
    <mergeCell ref="N74:O74"/>
    <mergeCell ref="I74:J74"/>
    <mergeCell ref="L74:M74"/>
    <mergeCell ref="W72:X72"/>
    <mergeCell ref="A73:E73"/>
    <mergeCell ref="I73:J73"/>
    <mergeCell ref="L73:M73"/>
    <mergeCell ref="N73:O73"/>
    <mergeCell ref="R73:S73"/>
    <mergeCell ref="U72:V72"/>
    <mergeCell ref="A71:E71"/>
    <mergeCell ref="I71:J71"/>
    <mergeCell ref="L71:M71"/>
    <mergeCell ref="N71:O71"/>
    <mergeCell ref="R71:S71"/>
    <mergeCell ref="U71:V71"/>
    <mergeCell ref="R44:S44"/>
    <mergeCell ref="U44:V44"/>
    <mergeCell ref="R70:S70"/>
    <mergeCell ref="U70:V70"/>
    <mergeCell ref="L70:M70"/>
    <mergeCell ref="N70:O70"/>
    <mergeCell ref="L57:M57"/>
    <mergeCell ref="N57:O57"/>
    <mergeCell ref="U69:V69"/>
    <mergeCell ref="N65:O65"/>
    <mergeCell ref="W70:X70"/>
    <mergeCell ref="I63:J63"/>
    <mergeCell ref="L63:M63"/>
    <mergeCell ref="I46:J46"/>
    <mergeCell ref="N46:O46"/>
    <mergeCell ref="W62:X62"/>
    <mergeCell ref="T52:V52"/>
    <mergeCell ref="W52:X52"/>
    <mergeCell ref="W59:X59"/>
    <mergeCell ref="W60:X60"/>
    <mergeCell ref="A43:E43"/>
    <mergeCell ref="I43:J43"/>
    <mergeCell ref="L43:M43"/>
    <mergeCell ref="N43:O43"/>
    <mergeCell ref="R43:S43"/>
    <mergeCell ref="U43:V43"/>
    <mergeCell ref="W71:X71"/>
    <mergeCell ref="A70:E70"/>
    <mergeCell ref="I70:J70"/>
    <mergeCell ref="W69:X69"/>
    <mergeCell ref="U66:V66"/>
    <mergeCell ref="A69:E69"/>
    <mergeCell ref="I69:J69"/>
    <mergeCell ref="L69:M69"/>
    <mergeCell ref="N69:O69"/>
    <mergeCell ref="U67:V67"/>
    <mergeCell ref="L67:M67"/>
    <mergeCell ref="N67:O67"/>
    <mergeCell ref="R69:S69"/>
    <mergeCell ref="I67:J67"/>
    <mergeCell ref="R64:S64"/>
    <mergeCell ref="A66:E66"/>
    <mergeCell ref="I66:J66"/>
    <mergeCell ref="L66:M66"/>
    <mergeCell ref="N66:O66"/>
    <mergeCell ref="R66:S66"/>
    <mergeCell ref="W66:X66"/>
    <mergeCell ref="W67:X67"/>
    <mergeCell ref="A68:E68"/>
    <mergeCell ref="I68:J68"/>
    <mergeCell ref="L68:M68"/>
    <mergeCell ref="N68:O68"/>
    <mergeCell ref="R68:S68"/>
    <mergeCell ref="U68:V68"/>
    <mergeCell ref="W68:X68"/>
    <mergeCell ref="A67:E67"/>
    <mergeCell ref="R67:S67"/>
    <mergeCell ref="L64:M64"/>
    <mergeCell ref="N64:O64"/>
    <mergeCell ref="R63:S63"/>
    <mergeCell ref="R62:S62"/>
    <mergeCell ref="A65:E65"/>
    <mergeCell ref="I65:J65"/>
    <mergeCell ref="L65:M65"/>
    <mergeCell ref="A62:E62"/>
    <mergeCell ref="I62:J62"/>
    <mergeCell ref="W65:X65"/>
    <mergeCell ref="A61:E61"/>
    <mergeCell ref="I61:J61"/>
    <mergeCell ref="L61:M61"/>
    <mergeCell ref="N61:O61"/>
    <mergeCell ref="A60:E60"/>
    <mergeCell ref="I60:J60"/>
    <mergeCell ref="L60:M60"/>
    <mergeCell ref="N60:O60"/>
    <mergeCell ref="W64:X64"/>
    <mergeCell ref="A49:E49"/>
    <mergeCell ref="A47:E47"/>
    <mergeCell ref="I50:J50"/>
    <mergeCell ref="U64:V64"/>
    <mergeCell ref="R65:S65"/>
    <mergeCell ref="U65:V65"/>
    <mergeCell ref="A63:E63"/>
    <mergeCell ref="N63:O63"/>
    <mergeCell ref="A64:E64"/>
    <mergeCell ref="I64:J64"/>
    <mergeCell ref="A58:E58"/>
    <mergeCell ref="I58:J58"/>
    <mergeCell ref="L58:M58"/>
    <mergeCell ref="N58:O58"/>
    <mergeCell ref="A57:E57"/>
    <mergeCell ref="I57:J57"/>
    <mergeCell ref="I55:J55"/>
    <mergeCell ref="I30:J30"/>
    <mergeCell ref="L30:M30"/>
    <mergeCell ref="N30:O30"/>
    <mergeCell ref="N35:O35"/>
    <mergeCell ref="L32:M32"/>
    <mergeCell ref="N48:O48"/>
    <mergeCell ref="N39:O39"/>
    <mergeCell ref="N41:O41"/>
    <mergeCell ref="L49:M49"/>
    <mergeCell ref="A40:E40"/>
    <mergeCell ref="W25:X25"/>
    <mergeCell ref="A26:E26"/>
    <mergeCell ref="A27:E27"/>
    <mergeCell ref="A28:E28"/>
    <mergeCell ref="A25:E25"/>
    <mergeCell ref="A36:E36"/>
    <mergeCell ref="A37:E37"/>
    <mergeCell ref="A38:E38"/>
    <mergeCell ref="A30:E30"/>
    <mergeCell ref="A21:C21"/>
    <mergeCell ref="D22:H22"/>
    <mergeCell ref="M20:X20"/>
    <mergeCell ref="M21:X21"/>
    <mergeCell ref="M22:X22"/>
    <mergeCell ref="W24:X24"/>
    <mergeCell ref="M24:O24"/>
    <mergeCell ref="S24:T24"/>
    <mergeCell ref="D21:H21"/>
    <mergeCell ref="A22:C22"/>
    <mergeCell ref="R26:S26"/>
    <mergeCell ref="N25:O25"/>
    <mergeCell ref="K25:M25"/>
    <mergeCell ref="L26:M26"/>
    <mergeCell ref="U26:V26"/>
    <mergeCell ref="G24:L24"/>
    <mergeCell ref="N26:O26"/>
    <mergeCell ref="Q25:S25"/>
    <mergeCell ref="J22:L22"/>
    <mergeCell ref="U29:V29"/>
    <mergeCell ref="R27:S27"/>
    <mergeCell ref="H25:J25"/>
    <mergeCell ref="I26:J26"/>
    <mergeCell ref="I27:J27"/>
    <mergeCell ref="R29:S29"/>
    <mergeCell ref="T25:V25"/>
    <mergeCell ref="U24:V24"/>
    <mergeCell ref="Q24:R24"/>
    <mergeCell ref="R45:S45"/>
    <mergeCell ref="N45:O45"/>
    <mergeCell ref="I44:J44"/>
    <mergeCell ref="N37:O37"/>
    <mergeCell ref="I38:J38"/>
    <mergeCell ref="I40:J40"/>
    <mergeCell ref="L41:M41"/>
    <mergeCell ref="I42:J42"/>
    <mergeCell ref="I41:J41"/>
    <mergeCell ref="L42:M42"/>
    <mergeCell ref="A35:E35"/>
    <mergeCell ref="I36:J36"/>
    <mergeCell ref="A46:E46"/>
    <mergeCell ref="A41:E41"/>
    <mergeCell ref="A42:E42"/>
    <mergeCell ref="A45:E45"/>
    <mergeCell ref="A44:E44"/>
    <mergeCell ref="I39:J39"/>
    <mergeCell ref="I37:J37"/>
    <mergeCell ref="A39:E39"/>
    <mergeCell ref="N27:O27"/>
    <mergeCell ref="L29:M29"/>
    <mergeCell ref="N31:O31"/>
    <mergeCell ref="L31:M31"/>
    <mergeCell ref="N29:O29"/>
    <mergeCell ref="N28:O28"/>
    <mergeCell ref="I29:J29"/>
    <mergeCell ref="I31:J31"/>
    <mergeCell ref="I33:J33"/>
    <mergeCell ref="A34:E34"/>
    <mergeCell ref="L34:M34"/>
    <mergeCell ref="A33:E33"/>
    <mergeCell ref="A29:E29"/>
    <mergeCell ref="A14:C14"/>
    <mergeCell ref="A15:C15"/>
    <mergeCell ref="A16:C16"/>
    <mergeCell ref="A17:C17"/>
    <mergeCell ref="N32:O32"/>
    <mergeCell ref="I48:J48"/>
    <mergeCell ref="I47:J47"/>
    <mergeCell ref="L27:M27"/>
    <mergeCell ref="L28:M28"/>
    <mergeCell ref="N33:O33"/>
    <mergeCell ref="L47:M47"/>
    <mergeCell ref="N49:O49"/>
    <mergeCell ref="L48:M48"/>
    <mergeCell ref="N44:O44"/>
    <mergeCell ref="L44:M44"/>
    <mergeCell ref="L45:M45"/>
    <mergeCell ref="L46:M46"/>
    <mergeCell ref="R35:S35"/>
    <mergeCell ref="W34:X34"/>
    <mergeCell ref="W35:X35"/>
    <mergeCell ref="L36:M36"/>
    <mergeCell ref="L39:M39"/>
    <mergeCell ref="L37:M37"/>
    <mergeCell ref="L38:M38"/>
    <mergeCell ref="L35:M35"/>
    <mergeCell ref="W38:X38"/>
    <mergeCell ref="W39:X39"/>
    <mergeCell ref="A59:E59"/>
    <mergeCell ref="A31:E31"/>
    <mergeCell ref="I59:J59"/>
    <mergeCell ref="A32:E32"/>
    <mergeCell ref="N36:O36"/>
    <mergeCell ref="I32:J32"/>
    <mergeCell ref="L40:M40"/>
    <mergeCell ref="N40:O40"/>
    <mergeCell ref="N34:O34"/>
    <mergeCell ref="A52:E52"/>
    <mergeCell ref="W28:X28"/>
    <mergeCell ref="W29:X29"/>
    <mergeCell ref="W30:X30"/>
    <mergeCell ref="R36:S36"/>
    <mergeCell ref="U31:V31"/>
    <mergeCell ref="U27:V27"/>
    <mergeCell ref="R28:S28"/>
    <mergeCell ref="U28:V28"/>
    <mergeCell ref="R33:S33"/>
    <mergeCell ref="R31:S31"/>
    <mergeCell ref="U34:V34"/>
    <mergeCell ref="U35:V35"/>
    <mergeCell ref="W33:X33"/>
    <mergeCell ref="U38:V38"/>
    <mergeCell ref="U37:V37"/>
    <mergeCell ref="W36:X36"/>
    <mergeCell ref="U33:V33"/>
    <mergeCell ref="W37:X37"/>
    <mergeCell ref="W40:X40"/>
    <mergeCell ref="W44:X44"/>
    <mergeCell ref="W45:X45"/>
    <mergeCell ref="R32:S32"/>
    <mergeCell ref="R41:S41"/>
    <mergeCell ref="R42:S42"/>
    <mergeCell ref="W32:X32"/>
    <mergeCell ref="U36:V36"/>
    <mergeCell ref="U32:V32"/>
    <mergeCell ref="R34:S34"/>
    <mergeCell ref="W31:X31"/>
    <mergeCell ref="W26:X26"/>
    <mergeCell ref="W27:X27"/>
    <mergeCell ref="U41:V41"/>
    <mergeCell ref="U49:V49"/>
    <mergeCell ref="N47:O47"/>
    <mergeCell ref="U47:V47"/>
    <mergeCell ref="U46:V46"/>
    <mergeCell ref="R48:S48"/>
    <mergeCell ref="R49:S49"/>
    <mergeCell ref="W1:X1"/>
    <mergeCell ref="W2:X2"/>
    <mergeCell ref="O4:X4"/>
    <mergeCell ref="Q5:S5"/>
    <mergeCell ref="X5:X6"/>
    <mergeCell ref="W5:W6"/>
    <mergeCell ref="T6:V6"/>
    <mergeCell ref="T5:V5"/>
    <mergeCell ref="O5:P5"/>
    <mergeCell ref="O6:P6"/>
    <mergeCell ref="N54:O54"/>
    <mergeCell ref="R39:S39"/>
    <mergeCell ref="A18:C18"/>
    <mergeCell ref="A19:C19"/>
    <mergeCell ref="A20:C20"/>
    <mergeCell ref="D20:H20"/>
    <mergeCell ref="D18:H18"/>
    <mergeCell ref="D19:H19"/>
    <mergeCell ref="R37:S37"/>
    <mergeCell ref="R46:S46"/>
    <mergeCell ref="D15:H15"/>
    <mergeCell ref="D16:H16"/>
    <mergeCell ref="H52:J52"/>
    <mergeCell ref="I49:J49"/>
    <mergeCell ref="I45:J45"/>
    <mergeCell ref="A50:E50"/>
    <mergeCell ref="A51:G51"/>
    <mergeCell ref="I34:J34"/>
    <mergeCell ref="I35:J35"/>
    <mergeCell ref="A48:E48"/>
    <mergeCell ref="R56:S56"/>
    <mergeCell ref="U39:V39"/>
    <mergeCell ref="U42:V42"/>
    <mergeCell ref="U40:V40"/>
    <mergeCell ref="U45:V45"/>
    <mergeCell ref="U50:V50"/>
    <mergeCell ref="R55:S55"/>
    <mergeCell ref="U55:V55"/>
    <mergeCell ref="R47:S47"/>
    <mergeCell ref="R40:S40"/>
    <mergeCell ref="N50:O50"/>
    <mergeCell ref="L50:M50"/>
    <mergeCell ref="R30:S30"/>
    <mergeCell ref="R50:S50"/>
    <mergeCell ref="I28:J28"/>
    <mergeCell ref="U30:V30"/>
    <mergeCell ref="R38:S38"/>
    <mergeCell ref="N42:O42"/>
    <mergeCell ref="N38:O38"/>
    <mergeCell ref="L33:M33"/>
    <mergeCell ref="D9:H9"/>
    <mergeCell ref="D11:H11"/>
    <mergeCell ref="D12:H12"/>
    <mergeCell ref="Q6:S6"/>
    <mergeCell ref="J20:L20"/>
    <mergeCell ref="J21:L21"/>
    <mergeCell ref="D17:H17"/>
    <mergeCell ref="I13:I18"/>
    <mergeCell ref="D13:H13"/>
    <mergeCell ref="D14:H14"/>
    <mergeCell ref="A1:H1"/>
    <mergeCell ref="A2:H2"/>
    <mergeCell ref="A3:H3"/>
    <mergeCell ref="A4:H4"/>
    <mergeCell ref="I4:I6"/>
    <mergeCell ref="D10:H10"/>
    <mergeCell ref="I8:I11"/>
    <mergeCell ref="D7:H7"/>
    <mergeCell ref="D6:H6"/>
    <mergeCell ref="D8:H8"/>
    <mergeCell ref="Q51:R51"/>
    <mergeCell ref="S51:T51"/>
    <mergeCell ref="N52:O52"/>
    <mergeCell ref="W55:X55"/>
    <mergeCell ref="R53:S53"/>
    <mergeCell ref="U53:V53"/>
    <mergeCell ref="N53:O53"/>
    <mergeCell ref="M51:O51"/>
    <mergeCell ref="Q52:S52"/>
    <mergeCell ref="R54:S54"/>
    <mergeCell ref="U51:V51"/>
    <mergeCell ref="W54:X54"/>
    <mergeCell ref="W49:X49"/>
    <mergeCell ref="W50:X50"/>
    <mergeCell ref="W48:X48"/>
    <mergeCell ref="W41:X41"/>
    <mergeCell ref="W42:X42"/>
    <mergeCell ref="W47:X47"/>
    <mergeCell ref="W51:X51"/>
    <mergeCell ref="W43:X43"/>
    <mergeCell ref="W56:X56"/>
    <mergeCell ref="W53:X53"/>
    <mergeCell ref="U54:V54"/>
    <mergeCell ref="N59:O59"/>
    <mergeCell ref="R59:S59"/>
    <mergeCell ref="L59:M59"/>
    <mergeCell ref="R57:S57"/>
    <mergeCell ref="U57:V57"/>
    <mergeCell ref="L53:M53"/>
    <mergeCell ref="N55:O55"/>
    <mergeCell ref="N56:O56"/>
    <mergeCell ref="A55:E55"/>
    <mergeCell ref="A54:E54"/>
    <mergeCell ref="L62:M62"/>
    <mergeCell ref="N62:O62"/>
    <mergeCell ref="U62:V62"/>
    <mergeCell ref="U56:V56"/>
    <mergeCell ref="R61:S61"/>
    <mergeCell ref="U61:V61"/>
    <mergeCell ref="U60:V60"/>
    <mergeCell ref="H51:L51"/>
    <mergeCell ref="A53:E53"/>
    <mergeCell ref="I53:J53"/>
    <mergeCell ref="A56:E56"/>
    <mergeCell ref="I56:J56"/>
    <mergeCell ref="L56:M56"/>
    <mergeCell ref="I54:J54"/>
    <mergeCell ref="L54:M54"/>
    <mergeCell ref="L55:M55"/>
    <mergeCell ref="K52:M52"/>
  </mergeCells>
  <printOptions/>
  <pageMargins left="0.25" right="0.25" top="0.25" bottom="0.5" header="0.25" footer="0.25"/>
  <pageSetup horizontalDpi="600" verticalDpi="600" orientation="landscape" r:id="rId1"/>
  <headerFooter alignWithMargins="0">
    <oddFooter>&amp;L&amp;F&amp;C&amp;D&amp;R&amp;A</oddFooter>
  </headerFooter>
</worksheet>
</file>

<file path=xl/worksheets/sheet4.xml><?xml version="1.0" encoding="utf-8"?>
<worksheet xmlns="http://schemas.openxmlformats.org/spreadsheetml/2006/main" xmlns:r="http://schemas.openxmlformats.org/officeDocument/2006/relationships">
  <dimension ref="A1:AV297"/>
  <sheetViews>
    <sheetView showGridLines="0" showZeros="0" zoomScalePageLayoutView="0" workbookViewId="0" topLeftCell="A1">
      <selection activeCell="AB28" sqref="AB28"/>
    </sheetView>
  </sheetViews>
  <sheetFormatPr defaultColWidth="7.7109375" defaultRowHeight="12.75"/>
  <cols>
    <col min="1" max="1" width="2.28125" style="7" customWidth="1"/>
    <col min="2" max="2" width="8.57421875" style="7" customWidth="1"/>
    <col min="3" max="24" width="5.7109375" style="7" customWidth="1"/>
    <col min="25" max="16384" width="7.7109375" style="7" customWidth="1"/>
  </cols>
  <sheetData>
    <row r="1" spans="1:24" ht="11.25" customHeight="1">
      <c r="A1" s="13" t="s">
        <v>2039</v>
      </c>
      <c r="C1" s="10"/>
      <c r="D1" s="10"/>
      <c r="E1" s="10"/>
      <c r="F1" s="10"/>
      <c r="G1" s="13" t="s">
        <v>2041</v>
      </c>
      <c r="L1" s="13" t="s">
        <v>2383</v>
      </c>
      <c r="Q1" s="13" t="s">
        <v>94</v>
      </c>
      <c r="W1" s="893" t="s">
        <v>1733</v>
      </c>
      <c r="X1" s="893"/>
    </row>
    <row r="2" spans="1:24" ht="11.25" customHeight="1">
      <c r="A2" s="59"/>
      <c r="B2" s="59"/>
      <c r="C2" s="462"/>
      <c r="D2" s="462"/>
      <c r="E2" s="10"/>
      <c r="F2" s="10"/>
      <c r="G2" s="15"/>
      <c r="W2" s="894" t="s">
        <v>2385</v>
      </c>
      <c r="X2" s="894"/>
    </row>
    <row r="3" spans="1:24" ht="11.25" customHeight="1">
      <c r="A3" s="999" t="s">
        <v>2042</v>
      </c>
      <c r="B3" s="999"/>
      <c r="C3" s="999"/>
      <c r="D3" s="999"/>
      <c r="E3" s="1000" t="str">
        <f>Input!F2</f>
        <v>Lincoln</v>
      </c>
      <c r="F3" s="1000"/>
      <c r="G3" s="1000"/>
      <c r="H3" s="1000"/>
      <c r="I3" s="1000"/>
      <c r="K3" s="4"/>
      <c r="L3" s="895" t="s">
        <v>2315</v>
      </c>
      <c r="M3" s="895"/>
      <c r="N3" s="895"/>
      <c r="O3" s="895"/>
      <c r="P3" s="895"/>
      <c r="Q3" s="895"/>
      <c r="R3" s="895"/>
      <c r="S3" s="895"/>
      <c r="T3" s="895"/>
      <c r="U3" s="895"/>
      <c r="V3" s="4"/>
      <c r="W3" s="4"/>
      <c r="X3" s="4"/>
    </row>
    <row r="4" spans="1:22" ht="11.25" customHeight="1">
      <c r="A4" s="999" t="s">
        <v>2667</v>
      </c>
      <c r="B4" s="999"/>
      <c r="C4" s="999"/>
      <c r="D4" s="999"/>
      <c r="E4" s="1001" t="str">
        <f>Input!F3</f>
        <v>FD04 069 0150 016-020</v>
      </c>
      <c r="F4" s="1001"/>
      <c r="G4" s="1001"/>
      <c r="H4" s="1001"/>
      <c r="I4" s="1001"/>
      <c r="K4" s="4"/>
      <c r="L4" s="900" t="s">
        <v>2942</v>
      </c>
      <c r="M4" s="900"/>
      <c r="N4" s="1003">
        <f>W45</f>
        <v>12000</v>
      </c>
      <c r="O4" s="1003"/>
      <c r="P4" s="1003"/>
      <c r="Q4" s="1004" t="str">
        <f>IF(N4&lt;N5,"Contractor OVER By:","Contractor UNDER By:")</f>
        <v>Contractor UNDER By:</v>
      </c>
      <c r="R4" s="1005"/>
      <c r="S4" s="1005"/>
      <c r="T4" s="1005"/>
      <c r="U4" s="1006"/>
      <c r="V4" s="4"/>
    </row>
    <row r="5" spans="1:21" ht="11.25" customHeight="1">
      <c r="A5" s="999" t="s">
        <v>2668</v>
      </c>
      <c r="B5" s="999"/>
      <c r="C5" s="999"/>
      <c r="D5" s="999"/>
      <c r="E5" s="1001" t="str">
        <f>Input!F4</f>
        <v>none</v>
      </c>
      <c r="F5" s="1001"/>
      <c r="G5" s="1001"/>
      <c r="H5" s="1001"/>
      <c r="I5" s="1001"/>
      <c r="L5" s="900" t="s">
        <v>2941</v>
      </c>
      <c r="M5" s="900"/>
      <c r="N5" s="1003">
        <f>W69</f>
        <v>0</v>
      </c>
      <c r="O5" s="1003"/>
      <c r="P5" s="1003"/>
      <c r="Q5" s="1007" t="str">
        <f>CONCATENATE(TEXT(IF(N4&lt;N5,N5-N4,N4-N5),"$0,000.00"),"   or   ",TEXT(ABS(N5-N4)/N4,"0.0%"))</f>
        <v>$12,000.00   or   100.0%</v>
      </c>
      <c r="R5" s="1008"/>
      <c r="S5" s="1008"/>
      <c r="T5" s="1008"/>
      <c r="U5" s="1009"/>
    </row>
    <row r="6" spans="1:24" ht="11.25" customHeight="1">
      <c r="A6" s="999" t="s">
        <v>2043</v>
      </c>
      <c r="B6" s="999"/>
      <c r="C6" s="999"/>
      <c r="D6" s="999"/>
      <c r="E6" s="1001" t="str">
        <f>Input!F6</f>
        <v>8-163.00</v>
      </c>
      <c r="F6" s="1001"/>
      <c r="G6" s="1001"/>
      <c r="H6" s="1001"/>
      <c r="I6" s="1001"/>
      <c r="W6" s="4"/>
      <c r="X6" s="4"/>
    </row>
    <row r="7" spans="23:24" ht="11.25" customHeight="1">
      <c r="W7" s="4"/>
      <c r="X7" s="4"/>
    </row>
    <row r="8" spans="1:24" ht="11.25" customHeight="1">
      <c r="A8" s="218"/>
      <c r="B8" s="218"/>
      <c r="C8" s="218"/>
      <c r="D8" s="309"/>
      <c r="E8" s="309"/>
      <c r="F8" s="309"/>
      <c r="G8" s="309"/>
      <c r="H8" s="309"/>
      <c r="W8" s="4"/>
      <c r="X8" s="4"/>
    </row>
    <row r="9" spans="1:24" ht="11.25" customHeight="1">
      <c r="A9" s="218"/>
      <c r="B9" s="218"/>
      <c r="C9" s="218"/>
      <c r="D9" s="309"/>
      <c r="E9" s="309"/>
      <c r="F9" s="309"/>
      <c r="G9" s="309"/>
      <c r="H9" s="998">
        <f>H25</f>
        <v>0</v>
      </c>
      <c r="I9" s="998"/>
      <c r="J9" s="998"/>
      <c r="K9" s="998">
        <f>K25</f>
        <v>0</v>
      </c>
      <c r="L9" s="998"/>
      <c r="M9" s="998"/>
      <c r="N9" s="998">
        <f>N25</f>
        <v>0</v>
      </c>
      <c r="O9" s="998"/>
      <c r="P9" s="998"/>
      <c r="Q9" s="998">
        <f>Q25</f>
        <v>0</v>
      </c>
      <c r="R9" s="998"/>
      <c r="S9" s="998"/>
      <c r="T9" s="998">
        <f>T25</f>
        <v>0</v>
      </c>
      <c r="U9" s="998"/>
      <c r="V9" s="998"/>
      <c r="W9" s="4"/>
      <c r="X9" s="4"/>
    </row>
    <row r="10" spans="1:24" ht="11.25" customHeight="1">
      <c r="A10" s="1002" t="s">
        <v>2615</v>
      </c>
      <c r="B10" s="1002"/>
      <c r="C10" s="1002"/>
      <c r="D10" s="1002"/>
      <c r="E10" s="1002"/>
      <c r="F10" s="1002"/>
      <c r="G10" s="59"/>
      <c r="H10" s="996">
        <f>IF($H$14,Input!D90,0)</f>
        <v>0</v>
      </c>
      <c r="I10" s="996"/>
      <c r="J10" s="996"/>
      <c r="K10" s="997">
        <f>IF($H$14,Input!G90,0)</f>
        <v>0</v>
      </c>
      <c r="L10" s="997"/>
      <c r="M10" s="997"/>
      <c r="N10" s="997">
        <f>IF($H$14,Input!J90,0)</f>
        <v>0</v>
      </c>
      <c r="O10" s="997"/>
      <c r="P10" s="997"/>
      <c r="Q10" s="997">
        <f>IF($H$14,Input!M90,0)</f>
        <v>0</v>
      </c>
      <c r="R10" s="997"/>
      <c r="S10" s="997"/>
      <c r="T10" s="997">
        <f>IF($H$14,Input!P90,0)</f>
        <v>0</v>
      </c>
      <c r="U10" s="997"/>
      <c r="V10" s="997"/>
      <c r="W10" s="4"/>
      <c r="X10" s="4"/>
    </row>
    <row r="11" spans="1:24" ht="11.25" customHeight="1">
      <c r="A11" s="1061" t="s">
        <v>2614</v>
      </c>
      <c r="B11" s="1061"/>
      <c r="C11" s="1061"/>
      <c r="D11" s="1061"/>
      <c r="E11" s="1061"/>
      <c r="F11" s="1061"/>
      <c r="G11" s="59"/>
      <c r="H11" s="996">
        <f>IF($H$14,Input!D89,0)</f>
        <v>0</v>
      </c>
      <c r="I11" s="996"/>
      <c r="J11" s="996"/>
      <c r="K11" s="997">
        <f>IF($K$14,Input!G89,0)</f>
        <v>0</v>
      </c>
      <c r="L11" s="997"/>
      <c r="M11" s="997"/>
      <c r="N11" s="997">
        <f>IF($N$14,Input!J89,0)</f>
        <v>0</v>
      </c>
      <c r="O11" s="997"/>
      <c r="P11" s="997"/>
      <c r="Q11" s="997">
        <f>IF($Q$14,Input!M89,0)</f>
        <v>0</v>
      </c>
      <c r="R11" s="997"/>
      <c r="S11" s="997"/>
      <c r="T11" s="997">
        <f>IF($T$14,Input!P89,0)</f>
        <v>0</v>
      </c>
      <c r="U11" s="997"/>
      <c r="V11" s="997"/>
      <c r="W11" s="4"/>
      <c r="X11" s="4"/>
    </row>
    <row r="12" spans="1:24" ht="11.25" customHeight="1">
      <c r="A12" s="1061" t="s">
        <v>1674</v>
      </c>
      <c r="B12" s="1061"/>
      <c r="C12" s="1061"/>
      <c r="D12" s="1061"/>
      <c r="E12" s="1061"/>
      <c r="F12" s="1061"/>
      <c r="G12" s="59"/>
      <c r="H12" s="996">
        <f>IF($H$14,Input!D91,0)</f>
        <v>0</v>
      </c>
      <c r="I12" s="996"/>
      <c r="J12" s="996"/>
      <c r="K12" s="997">
        <f>IF($K$14,Input!G91,0)</f>
        <v>0</v>
      </c>
      <c r="L12" s="997"/>
      <c r="M12" s="997"/>
      <c r="N12" s="997">
        <f>IF($N$14,Input!J91,0)</f>
        <v>0</v>
      </c>
      <c r="O12" s="997"/>
      <c r="P12" s="997"/>
      <c r="Q12" s="997">
        <f>IF($Q$14,Input!M91,0)</f>
        <v>0</v>
      </c>
      <c r="R12" s="997"/>
      <c r="S12" s="997"/>
      <c r="T12" s="997">
        <f>IF($T$14,Input!P91,0)</f>
        <v>0</v>
      </c>
      <c r="U12" s="997"/>
      <c r="V12" s="997"/>
      <c r="W12" s="4"/>
      <c r="X12" s="4"/>
    </row>
    <row r="13" spans="1:24" ht="11.25" customHeight="1">
      <c r="A13" s="1061" t="s">
        <v>1676</v>
      </c>
      <c r="B13" s="1061"/>
      <c r="C13" s="1061"/>
      <c r="D13" s="1061"/>
      <c r="E13" s="1061"/>
      <c r="F13" s="1061"/>
      <c r="H13" s="988">
        <f>IF($H$14,Input!D88,0)</f>
        <v>0</v>
      </c>
      <c r="I13" s="988"/>
      <c r="J13" s="989"/>
      <c r="K13" s="997">
        <f>IF($K$14,Input!G88,0)</f>
        <v>0</v>
      </c>
      <c r="L13" s="997"/>
      <c r="M13" s="997"/>
      <c r="N13" s="997">
        <f>IF($N$14,Input!J88,0)</f>
        <v>0</v>
      </c>
      <c r="O13" s="997"/>
      <c r="P13" s="997"/>
      <c r="Q13" s="997">
        <f>IF($Q$14,Input!M88,0)</f>
        <v>0</v>
      </c>
      <c r="R13" s="997"/>
      <c r="S13" s="997"/>
      <c r="T13" s="997">
        <f>IF($T$14,Input!P88,0)</f>
        <v>0</v>
      </c>
      <c r="U13" s="997"/>
      <c r="V13" s="997"/>
      <c r="W13" s="4"/>
      <c r="X13" s="4"/>
    </row>
    <row r="14" spans="1:24" ht="11.25" customHeight="1">
      <c r="A14" s="1045" t="s">
        <v>2336</v>
      </c>
      <c r="B14" s="1045"/>
      <c r="C14" s="1045"/>
      <c r="D14" s="1045"/>
      <c r="E14" s="1045"/>
      <c r="F14" s="1045"/>
      <c r="H14" s="988">
        <f>Input!D87</f>
        <v>0</v>
      </c>
      <c r="I14" s="988"/>
      <c r="J14" s="989"/>
      <c r="K14" s="987">
        <f>Input!G87</f>
        <v>0</v>
      </c>
      <c r="L14" s="988"/>
      <c r="M14" s="989"/>
      <c r="N14" s="987">
        <f>Input!J87</f>
        <v>0</v>
      </c>
      <c r="O14" s="988"/>
      <c r="P14" s="989"/>
      <c r="Q14" s="987">
        <f>Input!M87</f>
        <v>0</v>
      </c>
      <c r="R14" s="988"/>
      <c r="S14" s="989"/>
      <c r="T14" s="987">
        <f>Input!P87</f>
        <v>0</v>
      </c>
      <c r="U14" s="988"/>
      <c r="V14" s="989"/>
      <c r="W14" s="4"/>
      <c r="X14" s="4"/>
    </row>
    <row r="15" spans="1:24" ht="11.25" customHeight="1">
      <c r="A15" s="1045" t="s">
        <v>2337</v>
      </c>
      <c r="B15" s="1045"/>
      <c r="C15" s="1045"/>
      <c r="D15" s="1045"/>
      <c r="E15" s="1045"/>
      <c r="F15" s="1045"/>
      <c r="H15" s="988">
        <f>Input!D93</f>
        <v>0</v>
      </c>
      <c r="I15" s="988"/>
      <c r="J15" s="989"/>
      <c r="K15" s="987">
        <f>Input!G93</f>
        <v>0</v>
      </c>
      <c r="L15" s="988"/>
      <c r="M15" s="989"/>
      <c r="N15" s="987">
        <f>Input!J93</f>
        <v>0</v>
      </c>
      <c r="O15" s="988"/>
      <c r="P15" s="989"/>
      <c r="Q15" s="987">
        <f>Input!M93</f>
        <v>0</v>
      </c>
      <c r="R15" s="988"/>
      <c r="S15" s="989"/>
      <c r="T15" s="987">
        <f>Input!P93</f>
        <v>0</v>
      </c>
      <c r="U15" s="988"/>
      <c r="V15" s="989"/>
      <c r="W15" s="4"/>
      <c r="X15" s="4"/>
    </row>
    <row r="16" spans="1:24" ht="11.25" customHeight="1">
      <c r="A16" s="1045" t="s">
        <v>2670</v>
      </c>
      <c r="B16" s="1045"/>
      <c r="C16" s="1045"/>
      <c r="D16" s="1045"/>
      <c r="E16" s="1045"/>
      <c r="F16" s="1045"/>
      <c r="H16" s="985">
        <f>IF($H$14,CONCATENATE(IF(Input!D95=1,"Single",IF(Input!D95=2,"Double",IF(Input!D95=3,"Triple",0)))," RCBC - ",TEXT(Input!D96,"0.0"),"' x ",TEXT(Input!D97,"0.0"),"'"),0)</f>
        <v>0</v>
      </c>
      <c r="I16" s="985"/>
      <c r="J16" s="986"/>
      <c r="K16" s="984">
        <f>IF($K$14,CONCATENATE(IF(Input!G95=1,"Single",IF(Input!G95=2,"Double",IF(Input!G95=3,"Triple",0)))," RCBC - ",Input!G96,"' x ",Input!G97,"'"),0)</f>
        <v>0</v>
      </c>
      <c r="L16" s="985"/>
      <c r="M16" s="986"/>
      <c r="N16" s="984">
        <f>IF($N$14,CONCATENATE(IF(Input!J95=1,"Single",IF(Input!J95=2,"Double",IF(Input!J95=3,"Triple",0)))," RCBC - ",Input!J96,"' x ",Input!J97,"'"),0)</f>
        <v>0</v>
      </c>
      <c r="O16" s="985"/>
      <c r="P16" s="986"/>
      <c r="Q16" s="984">
        <f>IF($Q$14,CONCATENATE(IF(Input!M95=1,"Single",IF(Input!M95=2,"Double",IF(Input!M95=3,"Triple",0)))," RCBC - ",Input!M96,"' x ",Input!M97,"'"),0)</f>
        <v>0</v>
      </c>
      <c r="R16" s="985"/>
      <c r="S16" s="986"/>
      <c r="T16" s="984">
        <f>IF($T$14,CONCATENATE(IF(Input!P95=1,"Single",IF(Input!P95=2,"Double",IF(Input!P95=3,"Triple",0)))," RCBC - ",Input!P96,"' x ",Input!P97,"'"),0)</f>
        <v>0</v>
      </c>
      <c r="U16" s="985"/>
      <c r="V16" s="986"/>
      <c r="W16" s="4"/>
      <c r="X16" s="4"/>
    </row>
    <row r="17" spans="1:22" ht="11.25" customHeight="1">
      <c r="A17" s="1045" t="s">
        <v>2671</v>
      </c>
      <c r="B17" s="1045"/>
      <c r="C17" s="1045"/>
      <c r="D17" s="1045"/>
      <c r="E17" s="1045"/>
      <c r="F17" s="1045"/>
      <c r="H17" s="988">
        <f>IF($H$14,Input!D94,0)</f>
        <v>0</v>
      </c>
      <c r="I17" s="988"/>
      <c r="J17" s="989"/>
      <c r="K17" s="987">
        <f>IF($K$14,Input!G94,0)</f>
        <v>0</v>
      </c>
      <c r="L17" s="988"/>
      <c r="M17" s="989"/>
      <c r="N17" s="987">
        <f>IF($N$14,Input!J94,0)</f>
        <v>0</v>
      </c>
      <c r="O17" s="988"/>
      <c r="P17" s="989"/>
      <c r="Q17" s="987">
        <f>IF($Q$14,Input!M94,0)</f>
        <v>0</v>
      </c>
      <c r="R17" s="988"/>
      <c r="S17" s="989"/>
      <c r="T17" s="987">
        <f>IF($T$14,Input!P94,0)</f>
        <v>0</v>
      </c>
      <c r="U17" s="988"/>
      <c r="V17" s="989"/>
    </row>
    <row r="18" spans="1:22" ht="11.25" customHeight="1">
      <c r="A18" s="1045" t="s">
        <v>2672</v>
      </c>
      <c r="B18" s="1045"/>
      <c r="C18" s="1045"/>
      <c r="D18" s="1045"/>
      <c r="E18" s="1045"/>
      <c r="F18" s="1045"/>
      <c r="H18" s="994">
        <f>IF($H$14,CONCATENATE(ROUND(Input!D96*Input!D97*Input!D95,0)," sq ",Input!S96),0)</f>
        <v>0</v>
      </c>
      <c r="I18" s="994"/>
      <c r="J18" s="995"/>
      <c r="K18" s="993">
        <f>IF($K$14,CONCATENATE(ROUND(Input!G96*Input!G97*Input!G95,0)," sq ",Input!S96),0)</f>
        <v>0</v>
      </c>
      <c r="L18" s="994"/>
      <c r="M18" s="995"/>
      <c r="N18" s="993">
        <f>IF($N$14,CONCATENATE(ROUND(Input!J96*Input!J97*Input!J95,0)," sq ",Input!S96),0)</f>
        <v>0</v>
      </c>
      <c r="O18" s="994"/>
      <c r="P18" s="995"/>
      <c r="Q18" s="993">
        <f>IF($Q$14,CONCATENATE(ROUND(Input!M96*Input!M97*Input!M95,0)," sq ",Input!S96),0)</f>
        <v>0</v>
      </c>
      <c r="R18" s="994"/>
      <c r="S18" s="995"/>
      <c r="T18" s="993">
        <f>IF($T$14,CONCATENATE(ROUND(Input!P96*Input!P97*Input!P95,0)," sq ",Input!S96),0)</f>
        <v>0</v>
      </c>
      <c r="U18" s="994"/>
      <c r="V18" s="995"/>
    </row>
    <row r="19" spans="1:22" ht="11.25" customHeight="1">
      <c r="A19" s="1045" t="s">
        <v>2673</v>
      </c>
      <c r="B19" s="1045"/>
      <c r="C19" s="1045"/>
      <c r="D19" s="1045"/>
      <c r="E19" s="1045"/>
      <c r="F19" s="1045"/>
      <c r="H19" s="991">
        <f>IF($H$14,CONCATENATE(TEXT(Input!D98,"0.000")," ",Input!S98),0)</f>
        <v>0</v>
      </c>
      <c r="I19" s="991"/>
      <c r="J19" s="992"/>
      <c r="K19" s="990">
        <f>IF($K$14,CONCATENATE(Input!G98," ",Input!S98),0)</f>
        <v>0</v>
      </c>
      <c r="L19" s="991"/>
      <c r="M19" s="992"/>
      <c r="N19" s="990">
        <f>IF($N$14,CONCATENATE(Input!J98," ",Input!S98),0)</f>
        <v>0</v>
      </c>
      <c r="O19" s="991"/>
      <c r="P19" s="992"/>
      <c r="Q19" s="990">
        <f>IF($Q$14,CONCATENATE(Input!M98," ",Input!S98),0)</f>
        <v>0</v>
      </c>
      <c r="R19" s="991"/>
      <c r="S19" s="992"/>
      <c r="T19" s="990">
        <f>IF($T$14,CONCATENATE(Input!P98," ",Input!S98),0)</f>
        <v>0</v>
      </c>
      <c r="U19" s="991"/>
      <c r="V19" s="992"/>
    </row>
    <row r="20" spans="1:22" ht="11.25" customHeight="1">
      <c r="A20" s="1045" t="s">
        <v>2674</v>
      </c>
      <c r="B20" s="1045"/>
      <c r="C20" s="1045"/>
      <c r="D20" s="1045"/>
      <c r="E20" s="1045"/>
      <c r="F20" s="1045"/>
      <c r="H20" s="1040">
        <f>IF($H$14,CONCATENATE(ROUND(Input!D95*Input!D96*Input!D97*Input!D98,0)," cu ",Input!S96),0)</f>
        <v>0</v>
      </c>
      <c r="I20" s="1040"/>
      <c r="J20" s="1041"/>
      <c r="K20" s="1039">
        <f>IF($K$14,CONCATENATE(ROUND(Input!G95*Input!G96*Input!G97*Input!G98,0)," cu ",Input!S96),0)</f>
        <v>0</v>
      </c>
      <c r="L20" s="1040"/>
      <c r="M20" s="1041"/>
      <c r="N20" s="1039">
        <f>IF($N$14,CONCATENATE(ROUND(Input!J95*Input!J96*Input!J97*Input!J98,0)," cu ",Input!S96),0)</f>
        <v>0</v>
      </c>
      <c r="O20" s="1040"/>
      <c r="P20" s="1041"/>
      <c r="Q20" s="1039">
        <f>IF($Q$14,CONCATENATE(ROUND(Input!M95*Input!M96*Input!M97*Input!M98,0)," cu ",Input!S96),0)</f>
        <v>0</v>
      </c>
      <c r="R20" s="1040"/>
      <c r="S20" s="1041"/>
      <c r="T20" s="1039">
        <f>IF($T$14,CONCATENATE(ROUND(Input!P95*Input!P96*Input!P97*Input!P98,0)," cu ",Input!S96),0)</f>
        <v>0</v>
      </c>
      <c r="U20" s="1040"/>
      <c r="V20" s="1041"/>
    </row>
    <row r="21" spans="1:22" ht="11.25" customHeight="1">
      <c r="A21" s="1045" t="s">
        <v>2675</v>
      </c>
      <c r="B21" s="1045"/>
      <c r="C21" s="1045"/>
      <c r="D21" s="1045"/>
      <c r="E21" s="1045"/>
      <c r="F21" s="1045"/>
      <c r="H21" s="991">
        <f>IF($H$14,CONCATENATE(TEXT(Input!D103,"0.000")," ",Input!S103),0)</f>
        <v>0</v>
      </c>
      <c r="I21" s="991"/>
      <c r="J21" s="992"/>
      <c r="K21" s="990">
        <f>IF($K$14,CONCATENATE(Input!G103," ",Input!S103),0)</f>
        <v>0</v>
      </c>
      <c r="L21" s="991"/>
      <c r="M21" s="992"/>
      <c r="N21" s="990">
        <f>IF($N$14,CONCATENATE(Input!J103," ",Input!S103),0)</f>
        <v>0</v>
      </c>
      <c r="O21" s="991"/>
      <c r="P21" s="992"/>
      <c r="Q21" s="990">
        <f>IF($Q$14,CONCATENATE(Input!M103," ",Input!S103),0)</f>
        <v>0</v>
      </c>
      <c r="R21" s="991"/>
      <c r="S21" s="992"/>
      <c r="T21" s="990">
        <f>IF($T$14,CONCATENATE(Input!P103," ",Input!S103),0)</f>
        <v>0</v>
      </c>
      <c r="U21" s="991"/>
      <c r="V21" s="992"/>
    </row>
    <row r="22" spans="1:22" ht="11.25" customHeight="1">
      <c r="A22" s="1045" t="s">
        <v>2677</v>
      </c>
      <c r="B22" s="1045"/>
      <c r="C22" s="1045"/>
      <c r="D22" s="1045"/>
      <c r="E22" s="1045"/>
      <c r="F22" s="1045"/>
      <c r="H22" s="991">
        <f>IF($H$14,Input!D104,0)</f>
        <v>0</v>
      </c>
      <c r="I22" s="991"/>
      <c r="J22" s="992"/>
      <c r="K22" s="987">
        <f>IF($K$14,Input!G104,0)</f>
        <v>0</v>
      </c>
      <c r="L22" s="988"/>
      <c r="M22" s="989"/>
      <c r="N22" s="987">
        <f>IF($N$14,Input!J104,0)</f>
        <v>0</v>
      </c>
      <c r="O22" s="988"/>
      <c r="P22" s="989"/>
      <c r="Q22" s="987">
        <f>IF($Q$14,Input!M104,0)</f>
        <v>0</v>
      </c>
      <c r="R22" s="988"/>
      <c r="S22" s="989"/>
      <c r="T22" s="987">
        <f>IF($T$14,Input!P104,0)</f>
        <v>0</v>
      </c>
      <c r="U22" s="988"/>
      <c r="V22" s="989"/>
    </row>
    <row r="23" spans="1:22" ht="11.25" customHeight="1">
      <c r="A23" s="308"/>
      <c r="B23" s="308"/>
      <c r="C23" s="308"/>
      <c r="D23" s="308"/>
      <c r="E23" s="308"/>
      <c r="F23" s="308"/>
      <c r="H23" s="459"/>
      <c r="I23" s="459"/>
      <c r="J23" s="459"/>
      <c r="K23" s="459"/>
      <c r="L23" s="459"/>
      <c r="M23" s="459"/>
      <c r="N23" s="459"/>
      <c r="O23" s="459"/>
      <c r="P23" s="459"/>
      <c r="Q23" s="459"/>
      <c r="R23" s="459"/>
      <c r="S23" s="459"/>
      <c r="T23" s="459"/>
      <c r="U23" s="459"/>
      <c r="V23" s="459"/>
    </row>
    <row r="24" spans="1:28" ht="17.25">
      <c r="A24" s="1064" t="s">
        <v>2940</v>
      </c>
      <c r="B24" s="1065"/>
      <c r="C24" s="1065"/>
      <c r="D24" s="1065"/>
      <c r="E24" s="1062">
        <f ca="1">TODAY()</f>
        <v>44992</v>
      </c>
      <c r="F24" s="1063"/>
      <c r="G24" s="1066" t="s">
        <v>1732</v>
      </c>
      <c r="H24" s="1067"/>
      <c r="I24" s="1067"/>
      <c r="J24" s="1067"/>
      <c r="K24" s="1067"/>
      <c r="L24" s="1067"/>
      <c r="M24" s="1067"/>
      <c r="N24" s="1067"/>
      <c r="O24" s="1067"/>
      <c r="P24" s="1067"/>
      <c r="Q24" s="1067"/>
      <c r="R24" s="1067"/>
      <c r="S24" s="1067"/>
      <c r="T24" s="1067"/>
      <c r="U24" s="1067"/>
      <c r="V24" s="1067"/>
      <c r="W24" s="1067"/>
      <c r="X24" s="1068"/>
      <c r="Z24" s="461"/>
      <c r="AA24" s="461"/>
      <c r="AB24" s="461"/>
    </row>
    <row r="25" spans="1:28" ht="11.25" customHeight="1">
      <c r="A25" s="1034" t="s">
        <v>1725</v>
      </c>
      <c r="B25" s="1035"/>
      <c r="C25" s="1035"/>
      <c r="D25" s="1035"/>
      <c r="E25" s="1036"/>
      <c r="F25" s="1072" t="s">
        <v>1729</v>
      </c>
      <c r="G25" s="972" t="s">
        <v>1105</v>
      </c>
      <c r="H25" s="1012">
        <f>IF(Input!D87&gt;1,"CULVERT #1",0)</f>
        <v>0</v>
      </c>
      <c r="I25" s="1013"/>
      <c r="J25" s="1014"/>
      <c r="K25" s="1012">
        <f>IF(Input!G87&gt;1,"CULVERT #2",0)</f>
        <v>0</v>
      </c>
      <c r="L25" s="1013"/>
      <c r="M25" s="1014"/>
      <c r="N25" s="1012">
        <f>IF(Input!J87&gt;1,"CULVERT #3",0)</f>
        <v>0</v>
      </c>
      <c r="O25" s="1013"/>
      <c r="P25" s="1014"/>
      <c r="Q25" s="1012">
        <f>IF(Input!M87&gt;1,"CULVERT #4",0)</f>
        <v>0</v>
      </c>
      <c r="R25" s="1013"/>
      <c r="S25" s="1014"/>
      <c r="T25" s="1012">
        <f>IF(Input!P87&gt;1,"CULVERT #5",0)</f>
        <v>0</v>
      </c>
      <c r="U25" s="1013"/>
      <c r="V25" s="1014"/>
      <c r="W25" s="1010" t="s">
        <v>91</v>
      </c>
      <c r="X25" s="1011"/>
      <c r="Z25" s="461"/>
      <c r="AA25" s="461"/>
      <c r="AB25" s="461"/>
    </row>
    <row r="26" spans="1:28" ht="11.25" customHeight="1">
      <c r="A26" s="973"/>
      <c r="B26" s="1037"/>
      <c r="C26" s="1037"/>
      <c r="D26" s="1037"/>
      <c r="E26" s="1038"/>
      <c r="F26" s="1073"/>
      <c r="G26" s="973"/>
      <c r="H26" s="488" t="s">
        <v>1362</v>
      </c>
      <c r="I26" s="974" t="s">
        <v>1363</v>
      </c>
      <c r="J26" s="975"/>
      <c r="K26" s="488" t="s">
        <v>1362</v>
      </c>
      <c r="L26" s="974" t="s">
        <v>1363</v>
      </c>
      <c r="M26" s="975"/>
      <c r="N26" s="488" t="s">
        <v>1362</v>
      </c>
      <c r="O26" s="974" t="s">
        <v>1363</v>
      </c>
      <c r="P26" s="975"/>
      <c r="Q26" s="488" t="s">
        <v>1362</v>
      </c>
      <c r="R26" s="974" t="s">
        <v>1363</v>
      </c>
      <c r="S26" s="975"/>
      <c r="T26" s="488" t="s">
        <v>1362</v>
      </c>
      <c r="U26" s="974" t="s">
        <v>1363</v>
      </c>
      <c r="V26" s="975"/>
      <c r="W26" s="1019" t="s">
        <v>1363</v>
      </c>
      <c r="X26" s="1020"/>
      <c r="Z26" s="461"/>
      <c r="AA26" s="461"/>
      <c r="AB26" s="461"/>
    </row>
    <row r="27" spans="1:28" ht="11.25" customHeight="1">
      <c r="A27" s="1042">
        <f>C75</f>
        <v>0</v>
      </c>
      <c r="B27" s="1043"/>
      <c r="C27" s="1043"/>
      <c r="D27" s="1043"/>
      <c r="E27" s="1044"/>
      <c r="F27" s="470">
        <f>C76</f>
        <v>0</v>
      </c>
      <c r="G27" s="474">
        <f>'Bridge Quantities'!Z5</f>
        <v>900.17</v>
      </c>
      <c r="H27" s="499">
        <f>H51</f>
        <v>0</v>
      </c>
      <c r="I27" s="1017">
        <f>G27*H27</f>
        <v>0</v>
      </c>
      <c r="J27" s="1018"/>
      <c r="K27" s="499">
        <f>K51</f>
        <v>0</v>
      </c>
      <c r="L27" s="1017">
        <f>G27*K27</f>
        <v>0</v>
      </c>
      <c r="M27" s="1018"/>
      <c r="N27" s="499">
        <f>N51</f>
        <v>0</v>
      </c>
      <c r="O27" s="1017">
        <f>G27*N27</f>
        <v>0</v>
      </c>
      <c r="P27" s="1018"/>
      <c r="Q27" s="499">
        <f>Q51</f>
        <v>0</v>
      </c>
      <c r="R27" s="1017">
        <f>G27*Q27</f>
        <v>0</v>
      </c>
      <c r="S27" s="1018"/>
      <c r="T27" s="499">
        <f>T51</f>
        <v>0</v>
      </c>
      <c r="U27" s="1017">
        <f>G27*T27</f>
        <v>0</v>
      </c>
      <c r="V27" s="1018"/>
      <c r="W27" s="1015">
        <f>SUM(I27,L27,O27,R27,U27)</f>
        <v>0</v>
      </c>
      <c r="X27" s="1016"/>
      <c r="Z27" s="461"/>
      <c r="AA27" s="461"/>
      <c r="AB27" s="461"/>
    </row>
    <row r="28" spans="1:28" s="59" customFormat="1" ht="11.25" customHeight="1">
      <c r="A28" s="967">
        <f>D75</f>
        <v>0</v>
      </c>
      <c r="B28" s="968"/>
      <c r="C28" s="968"/>
      <c r="D28" s="968"/>
      <c r="E28" s="969"/>
      <c r="F28" s="471">
        <f>D76</f>
        <v>0</v>
      </c>
      <c r="G28" s="475">
        <f>'Bridge Quantities'!AD5</f>
        <v>1.7</v>
      </c>
      <c r="H28" s="500">
        <f aca="true" t="shared" si="0" ref="H28:H44">H52</f>
        <v>0</v>
      </c>
      <c r="I28" s="970">
        <f aca="true" t="shared" si="1" ref="I28:I44">G28*H28</f>
        <v>0</v>
      </c>
      <c r="J28" s="971"/>
      <c r="K28" s="500">
        <f aca="true" t="shared" si="2" ref="K28:K44">K52</f>
        <v>0</v>
      </c>
      <c r="L28" s="970">
        <f aca="true" t="shared" si="3" ref="L28:L44">G28*K28</f>
        <v>0</v>
      </c>
      <c r="M28" s="971"/>
      <c r="N28" s="500">
        <f aca="true" t="shared" si="4" ref="N28:N44">N52</f>
        <v>0</v>
      </c>
      <c r="O28" s="970">
        <f aca="true" t="shared" si="5" ref="O28:O44">G28*N28</f>
        <v>0</v>
      </c>
      <c r="P28" s="971"/>
      <c r="Q28" s="500">
        <f aca="true" t="shared" si="6" ref="Q28:Q44">Q52</f>
        <v>0</v>
      </c>
      <c r="R28" s="970">
        <f aca="true" t="shared" si="7" ref="R28:R44">G28*Q28</f>
        <v>0</v>
      </c>
      <c r="S28" s="971"/>
      <c r="T28" s="500">
        <f aca="true" t="shared" si="8" ref="T28:T44">T52</f>
        <v>0</v>
      </c>
      <c r="U28" s="970">
        <f aca="true" t="shared" si="9" ref="U28:U44">G28*T28</f>
        <v>0</v>
      </c>
      <c r="V28" s="971"/>
      <c r="W28" s="976">
        <f aca="true" t="shared" si="10" ref="W28:W34">SUM(I28,L28,O28,R28,U28)</f>
        <v>0</v>
      </c>
      <c r="X28" s="977"/>
      <c r="Y28" s="7"/>
      <c r="Z28" s="461"/>
      <c r="AA28" s="461"/>
      <c r="AB28" s="461"/>
    </row>
    <row r="29" spans="1:28" s="59" customFormat="1" ht="11.25" customHeight="1">
      <c r="A29" s="967">
        <f>E75</f>
        <v>0</v>
      </c>
      <c r="B29" s="968"/>
      <c r="C29" s="968"/>
      <c r="D29" s="968"/>
      <c r="E29" s="969"/>
      <c r="F29" s="471">
        <f>E76</f>
        <v>0</v>
      </c>
      <c r="G29" s="475">
        <f>'Bridge Quantities'!N5</f>
        <v>43.65</v>
      </c>
      <c r="H29" s="500">
        <f t="shared" si="0"/>
        <v>0</v>
      </c>
      <c r="I29" s="970">
        <f t="shared" si="1"/>
        <v>0</v>
      </c>
      <c r="J29" s="971"/>
      <c r="K29" s="500">
        <f t="shared" si="2"/>
        <v>0</v>
      </c>
      <c r="L29" s="970">
        <f t="shared" si="3"/>
        <v>0</v>
      </c>
      <c r="M29" s="971"/>
      <c r="N29" s="500">
        <f t="shared" si="4"/>
        <v>0</v>
      </c>
      <c r="O29" s="970">
        <f t="shared" si="5"/>
        <v>0</v>
      </c>
      <c r="P29" s="971"/>
      <c r="Q29" s="500">
        <f t="shared" si="6"/>
        <v>0</v>
      </c>
      <c r="R29" s="970">
        <f t="shared" si="7"/>
        <v>0</v>
      </c>
      <c r="S29" s="971"/>
      <c r="T29" s="500">
        <f t="shared" si="8"/>
        <v>0</v>
      </c>
      <c r="U29" s="970">
        <f t="shared" si="9"/>
        <v>0</v>
      </c>
      <c r="V29" s="971"/>
      <c r="W29" s="976">
        <f t="shared" si="10"/>
        <v>0</v>
      </c>
      <c r="X29" s="977"/>
      <c r="Y29" s="7"/>
      <c r="Z29" s="461"/>
      <c r="AA29" s="461"/>
      <c r="AB29" s="461"/>
    </row>
    <row r="30" spans="1:28" s="59" customFormat="1" ht="11.25" customHeight="1">
      <c r="A30" s="967">
        <f>F75</f>
        <v>0</v>
      </c>
      <c r="B30" s="968"/>
      <c r="C30" s="968"/>
      <c r="D30" s="968"/>
      <c r="E30" s="969"/>
      <c r="F30" s="471">
        <f>F76</f>
        <v>0</v>
      </c>
      <c r="G30" s="475">
        <f>'Bridge Quantities'!O5</f>
        <v>56.97</v>
      </c>
      <c r="H30" s="500">
        <f t="shared" si="0"/>
        <v>0</v>
      </c>
      <c r="I30" s="970">
        <f t="shared" si="1"/>
        <v>0</v>
      </c>
      <c r="J30" s="971"/>
      <c r="K30" s="500">
        <f t="shared" si="2"/>
        <v>0</v>
      </c>
      <c r="L30" s="970">
        <f t="shared" si="3"/>
        <v>0</v>
      </c>
      <c r="M30" s="971"/>
      <c r="N30" s="500">
        <f t="shared" si="4"/>
        <v>0</v>
      </c>
      <c r="O30" s="970">
        <f t="shared" si="5"/>
        <v>0</v>
      </c>
      <c r="P30" s="971"/>
      <c r="Q30" s="500">
        <f t="shared" si="6"/>
        <v>0</v>
      </c>
      <c r="R30" s="970">
        <f t="shared" si="7"/>
        <v>0</v>
      </c>
      <c r="S30" s="971"/>
      <c r="T30" s="500">
        <f t="shared" si="8"/>
        <v>0</v>
      </c>
      <c r="U30" s="970">
        <f t="shared" si="9"/>
        <v>0</v>
      </c>
      <c r="V30" s="971"/>
      <c r="W30" s="976">
        <f t="shared" si="10"/>
        <v>0</v>
      </c>
      <c r="X30" s="977"/>
      <c r="Y30" s="7"/>
      <c r="Z30" s="461"/>
      <c r="AA30" s="461"/>
      <c r="AB30" s="461"/>
    </row>
    <row r="31" spans="1:28" s="59" customFormat="1" ht="11.25" customHeight="1">
      <c r="A31" s="967">
        <f>G75</f>
        <v>0</v>
      </c>
      <c r="B31" s="968"/>
      <c r="C31" s="968"/>
      <c r="D31" s="968"/>
      <c r="E31" s="969"/>
      <c r="F31" s="471">
        <f>G76</f>
        <v>0</v>
      </c>
      <c r="G31" s="525" t="s">
        <v>1493</v>
      </c>
      <c r="H31" s="500">
        <f t="shared" si="0"/>
        <v>0</v>
      </c>
      <c r="I31" s="1023">
        <v>5000</v>
      </c>
      <c r="J31" s="1024"/>
      <c r="K31" s="500">
        <f t="shared" si="2"/>
        <v>0</v>
      </c>
      <c r="L31" s="1023">
        <v>7000</v>
      </c>
      <c r="M31" s="1024"/>
      <c r="N31" s="500">
        <f t="shared" si="4"/>
        <v>0</v>
      </c>
      <c r="O31" s="1023"/>
      <c r="P31" s="1024"/>
      <c r="Q31" s="500">
        <f t="shared" si="6"/>
        <v>0</v>
      </c>
      <c r="R31" s="1023"/>
      <c r="S31" s="1024"/>
      <c r="T31" s="500">
        <f t="shared" si="8"/>
        <v>0</v>
      </c>
      <c r="U31" s="1023"/>
      <c r="V31" s="1024"/>
      <c r="W31" s="976">
        <f t="shared" si="10"/>
        <v>12000</v>
      </c>
      <c r="X31" s="977"/>
      <c r="Y31" s="7"/>
      <c r="Z31" s="461"/>
      <c r="AA31" s="461"/>
      <c r="AB31" s="461"/>
    </row>
    <row r="32" spans="1:28" s="59" customFormat="1" ht="11.25" customHeight="1">
      <c r="A32" s="967">
        <f>H75</f>
        <v>0</v>
      </c>
      <c r="B32" s="968"/>
      <c r="C32" s="968"/>
      <c r="D32" s="968"/>
      <c r="E32" s="969"/>
      <c r="F32" s="471">
        <f>H76</f>
        <v>0</v>
      </c>
      <c r="G32" s="475">
        <f>'Bridge Quantities'!M5</f>
        <v>10.87</v>
      </c>
      <c r="H32" s="500">
        <f t="shared" si="0"/>
        <v>0</v>
      </c>
      <c r="I32" s="970">
        <f t="shared" si="1"/>
        <v>0</v>
      </c>
      <c r="J32" s="971"/>
      <c r="K32" s="500">
        <f t="shared" si="2"/>
        <v>0</v>
      </c>
      <c r="L32" s="970">
        <f t="shared" si="3"/>
        <v>0</v>
      </c>
      <c r="M32" s="971"/>
      <c r="N32" s="500">
        <f t="shared" si="4"/>
        <v>0</v>
      </c>
      <c r="O32" s="970">
        <f t="shared" si="5"/>
        <v>0</v>
      </c>
      <c r="P32" s="971"/>
      <c r="Q32" s="500">
        <f t="shared" si="6"/>
        <v>0</v>
      </c>
      <c r="R32" s="970">
        <f t="shared" si="7"/>
        <v>0</v>
      </c>
      <c r="S32" s="971"/>
      <c r="T32" s="500">
        <f t="shared" si="8"/>
        <v>0</v>
      </c>
      <c r="U32" s="970">
        <f t="shared" si="9"/>
        <v>0</v>
      </c>
      <c r="V32" s="971"/>
      <c r="W32" s="976">
        <f t="shared" si="10"/>
        <v>0</v>
      </c>
      <c r="X32" s="977"/>
      <c r="Y32" s="7"/>
      <c r="Z32" s="461"/>
      <c r="AA32" s="461"/>
      <c r="AB32" s="461"/>
    </row>
    <row r="33" spans="1:28" s="59" customFormat="1" ht="11.25" customHeight="1">
      <c r="A33" s="967">
        <f>I75</f>
        <v>0</v>
      </c>
      <c r="B33" s="968"/>
      <c r="C33" s="968"/>
      <c r="D33" s="968"/>
      <c r="E33" s="969"/>
      <c r="F33" s="471">
        <f>I76</f>
        <v>0</v>
      </c>
      <c r="G33" s="475">
        <f>'Bridge Quantities'!AO5</f>
        <v>608.15</v>
      </c>
      <c r="H33" s="500">
        <f t="shared" si="0"/>
        <v>0</v>
      </c>
      <c r="I33" s="970">
        <f t="shared" si="1"/>
        <v>0</v>
      </c>
      <c r="J33" s="971"/>
      <c r="K33" s="500">
        <f t="shared" si="2"/>
        <v>0</v>
      </c>
      <c r="L33" s="970">
        <f t="shared" si="3"/>
        <v>0</v>
      </c>
      <c r="M33" s="971"/>
      <c r="N33" s="500">
        <f t="shared" si="4"/>
        <v>0</v>
      </c>
      <c r="O33" s="970">
        <f t="shared" si="5"/>
        <v>0</v>
      </c>
      <c r="P33" s="971"/>
      <c r="Q33" s="500">
        <f t="shared" si="6"/>
        <v>0</v>
      </c>
      <c r="R33" s="970">
        <f t="shared" si="7"/>
        <v>0</v>
      </c>
      <c r="S33" s="971"/>
      <c r="T33" s="500">
        <f t="shared" si="8"/>
        <v>0</v>
      </c>
      <c r="U33" s="970">
        <f t="shared" si="9"/>
        <v>0</v>
      </c>
      <c r="V33" s="971"/>
      <c r="W33" s="976">
        <f t="shared" si="10"/>
        <v>0</v>
      </c>
      <c r="X33" s="977"/>
      <c r="Y33" s="7"/>
      <c r="Z33" s="461"/>
      <c r="AA33" s="461"/>
      <c r="AB33" s="461"/>
    </row>
    <row r="34" spans="1:28" s="59" customFormat="1" ht="11.25" customHeight="1">
      <c r="A34" s="967">
        <f>J75</f>
        <v>0</v>
      </c>
      <c r="B34" s="968"/>
      <c r="C34" s="968"/>
      <c r="D34" s="968"/>
      <c r="E34" s="969"/>
      <c r="F34" s="471">
        <f>J76</f>
        <v>0</v>
      </c>
      <c r="G34" s="475">
        <v>1000</v>
      </c>
      <c r="H34" s="500">
        <f t="shared" si="0"/>
        <v>0</v>
      </c>
      <c r="I34" s="970">
        <f t="shared" si="1"/>
        <v>0</v>
      </c>
      <c r="J34" s="971"/>
      <c r="K34" s="500">
        <f t="shared" si="2"/>
        <v>0</v>
      </c>
      <c r="L34" s="970">
        <f t="shared" si="3"/>
        <v>0</v>
      </c>
      <c r="M34" s="971"/>
      <c r="N34" s="500">
        <f t="shared" si="4"/>
        <v>0</v>
      </c>
      <c r="O34" s="970">
        <f t="shared" si="5"/>
        <v>0</v>
      </c>
      <c r="P34" s="971"/>
      <c r="Q34" s="500">
        <f t="shared" si="6"/>
        <v>0</v>
      </c>
      <c r="R34" s="970">
        <f t="shared" si="7"/>
        <v>0</v>
      </c>
      <c r="S34" s="971"/>
      <c r="T34" s="500">
        <f t="shared" si="8"/>
        <v>0</v>
      </c>
      <c r="U34" s="970">
        <f t="shared" si="9"/>
        <v>0</v>
      </c>
      <c r="V34" s="971"/>
      <c r="W34" s="976">
        <f t="shared" si="10"/>
        <v>0</v>
      </c>
      <c r="X34" s="977"/>
      <c r="Y34" s="7"/>
      <c r="Z34" s="461"/>
      <c r="AA34" s="461"/>
      <c r="AB34" s="461"/>
    </row>
    <row r="35" spans="1:28" s="59" customFormat="1" ht="11.25" customHeight="1">
      <c r="A35" s="967">
        <f>K75</f>
        <v>0</v>
      </c>
      <c r="B35" s="968"/>
      <c r="C35" s="968"/>
      <c r="D35" s="968"/>
      <c r="E35" s="969"/>
      <c r="F35" s="471">
        <f>K76</f>
        <v>0</v>
      </c>
      <c r="G35" s="475">
        <f>'Bridge Quantities'!AA5</f>
        <v>1073.16</v>
      </c>
      <c r="H35" s="500">
        <f t="shared" si="0"/>
        <v>0</v>
      </c>
      <c r="I35" s="970">
        <f t="shared" si="1"/>
        <v>0</v>
      </c>
      <c r="J35" s="971"/>
      <c r="K35" s="500">
        <f t="shared" si="2"/>
        <v>0</v>
      </c>
      <c r="L35" s="970">
        <f t="shared" si="3"/>
        <v>0</v>
      </c>
      <c r="M35" s="971"/>
      <c r="N35" s="500">
        <f t="shared" si="4"/>
        <v>0</v>
      </c>
      <c r="O35" s="970">
        <f t="shared" si="5"/>
        <v>0</v>
      </c>
      <c r="P35" s="971"/>
      <c r="Q35" s="500">
        <f t="shared" si="6"/>
        <v>0</v>
      </c>
      <c r="R35" s="970">
        <f t="shared" si="7"/>
        <v>0</v>
      </c>
      <c r="S35" s="971"/>
      <c r="T35" s="500">
        <f t="shared" si="8"/>
        <v>0</v>
      </c>
      <c r="U35" s="970">
        <f t="shared" si="9"/>
        <v>0</v>
      </c>
      <c r="V35" s="971"/>
      <c r="W35" s="976">
        <f aca="true" t="shared" si="11" ref="W35:W44">SUM(I35,L35,O35,R35,U35)</f>
        <v>0</v>
      </c>
      <c r="X35" s="977"/>
      <c r="Y35" s="7"/>
      <c r="Z35" s="461"/>
      <c r="AA35" s="461"/>
      <c r="AB35" s="461"/>
    </row>
    <row r="36" spans="1:28" s="59" customFormat="1" ht="11.25" customHeight="1">
      <c r="A36" s="967">
        <f>L75</f>
        <v>0</v>
      </c>
      <c r="B36" s="968"/>
      <c r="C36" s="968"/>
      <c r="D36" s="968"/>
      <c r="E36" s="969"/>
      <c r="F36" s="471">
        <f>L76</f>
        <v>0</v>
      </c>
      <c r="G36" s="475">
        <f>'Bridge Quantities'!C5</f>
        <v>69.47</v>
      </c>
      <c r="H36" s="500">
        <f t="shared" si="0"/>
        <v>0</v>
      </c>
      <c r="I36" s="970">
        <f t="shared" si="1"/>
        <v>0</v>
      </c>
      <c r="J36" s="971"/>
      <c r="K36" s="500">
        <f t="shared" si="2"/>
        <v>0</v>
      </c>
      <c r="L36" s="970">
        <f t="shared" si="3"/>
        <v>0</v>
      </c>
      <c r="M36" s="971"/>
      <c r="N36" s="500">
        <f t="shared" si="4"/>
        <v>0</v>
      </c>
      <c r="O36" s="970">
        <f t="shared" si="5"/>
        <v>0</v>
      </c>
      <c r="P36" s="971"/>
      <c r="Q36" s="500">
        <f t="shared" si="6"/>
        <v>0</v>
      </c>
      <c r="R36" s="970">
        <f t="shared" si="7"/>
        <v>0</v>
      </c>
      <c r="S36" s="971"/>
      <c r="T36" s="500">
        <f t="shared" si="8"/>
        <v>0</v>
      </c>
      <c r="U36" s="970">
        <f t="shared" si="9"/>
        <v>0</v>
      </c>
      <c r="V36" s="971"/>
      <c r="W36" s="976">
        <f t="shared" si="11"/>
        <v>0</v>
      </c>
      <c r="X36" s="977"/>
      <c r="Y36" s="7"/>
      <c r="Z36" s="461"/>
      <c r="AA36" s="461"/>
      <c r="AB36" s="461"/>
    </row>
    <row r="37" spans="1:28" s="59" customFormat="1" ht="11.25" customHeight="1">
      <c r="A37" s="967">
        <f>M75</f>
        <v>0</v>
      </c>
      <c r="B37" s="968"/>
      <c r="C37" s="968"/>
      <c r="D37" s="968"/>
      <c r="E37" s="969"/>
      <c r="F37" s="471">
        <f>M76</f>
        <v>0</v>
      </c>
      <c r="G37" s="475">
        <f>'Bridge Quantities'!F5</f>
        <v>64.68</v>
      </c>
      <c r="H37" s="500">
        <f t="shared" si="0"/>
        <v>0</v>
      </c>
      <c r="I37" s="970">
        <f t="shared" si="1"/>
        <v>0</v>
      </c>
      <c r="J37" s="971"/>
      <c r="K37" s="500">
        <f t="shared" si="2"/>
        <v>0</v>
      </c>
      <c r="L37" s="970">
        <f t="shared" si="3"/>
        <v>0</v>
      </c>
      <c r="M37" s="971"/>
      <c r="N37" s="500">
        <f t="shared" si="4"/>
        <v>0</v>
      </c>
      <c r="O37" s="970">
        <f t="shared" si="5"/>
        <v>0</v>
      </c>
      <c r="P37" s="971"/>
      <c r="Q37" s="500">
        <f t="shared" si="6"/>
        <v>0</v>
      </c>
      <c r="R37" s="970">
        <f t="shared" si="7"/>
        <v>0</v>
      </c>
      <c r="S37" s="971"/>
      <c r="T37" s="500">
        <f t="shared" si="8"/>
        <v>0</v>
      </c>
      <c r="U37" s="970">
        <f t="shared" si="9"/>
        <v>0</v>
      </c>
      <c r="V37" s="971"/>
      <c r="W37" s="976">
        <f t="shared" si="11"/>
        <v>0</v>
      </c>
      <c r="X37" s="977"/>
      <c r="Y37" s="7"/>
      <c r="Z37" s="461"/>
      <c r="AA37" s="461"/>
      <c r="AB37" s="461"/>
    </row>
    <row r="38" spans="1:28" s="59" customFormat="1" ht="11.25" customHeight="1">
      <c r="A38" s="967">
        <f>N75</f>
        <v>0</v>
      </c>
      <c r="B38" s="968"/>
      <c r="C38" s="968"/>
      <c r="D38" s="968"/>
      <c r="E38" s="969"/>
      <c r="F38" s="471">
        <f>N76</f>
        <v>0</v>
      </c>
      <c r="G38" s="475">
        <f>'Bridge Quantities'!G5</f>
        <v>209.1</v>
      </c>
      <c r="H38" s="500">
        <f t="shared" si="0"/>
        <v>0</v>
      </c>
      <c r="I38" s="970">
        <f t="shared" si="1"/>
        <v>0</v>
      </c>
      <c r="J38" s="971"/>
      <c r="K38" s="500">
        <f t="shared" si="2"/>
        <v>0</v>
      </c>
      <c r="L38" s="970">
        <f t="shared" si="3"/>
        <v>0</v>
      </c>
      <c r="M38" s="971"/>
      <c r="N38" s="500">
        <f t="shared" si="4"/>
        <v>0</v>
      </c>
      <c r="O38" s="970">
        <f t="shared" si="5"/>
        <v>0</v>
      </c>
      <c r="P38" s="971"/>
      <c r="Q38" s="500">
        <f t="shared" si="6"/>
        <v>0</v>
      </c>
      <c r="R38" s="970">
        <f t="shared" si="7"/>
        <v>0</v>
      </c>
      <c r="S38" s="971"/>
      <c r="T38" s="500">
        <f t="shared" si="8"/>
        <v>0</v>
      </c>
      <c r="U38" s="970">
        <f t="shared" si="9"/>
        <v>0</v>
      </c>
      <c r="V38" s="971"/>
      <c r="W38" s="976">
        <f t="shared" si="11"/>
        <v>0</v>
      </c>
      <c r="X38" s="977"/>
      <c r="Y38" s="7"/>
      <c r="Z38" s="461"/>
      <c r="AA38" s="461"/>
      <c r="AB38" s="461"/>
    </row>
    <row r="39" spans="1:28" s="59" customFormat="1" ht="11.25" customHeight="1">
      <c r="A39" s="967">
        <f>O75</f>
        <v>0</v>
      </c>
      <c r="B39" s="968"/>
      <c r="C39" s="968"/>
      <c r="D39" s="968"/>
      <c r="E39" s="969"/>
      <c r="F39" s="471">
        <f>O76</f>
        <v>0</v>
      </c>
      <c r="G39" s="475">
        <v>1</v>
      </c>
      <c r="H39" s="500">
        <f t="shared" si="0"/>
        <v>0</v>
      </c>
      <c r="I39" s="970">
        <f t="shared" si="1"/>
        <v>0</v>
      </c>
      <c r="J39" s="971"/>
      <c r="K39" s="500">
        <f t="shared" si="2"/>
        <v>0</v>
      </c>
      <c r="L39" s="970">
        <f t="shared" si="3"/>
        <v>0</v>
      </c>
      <c r="M39" s="971"/>
      <c r="N39" s="500">
        <f t="shared" si="4"/>
        <v>0</v>
      </c>
      <c r="O39" s="970">
        <f t="shared" si="5"/>
        <v>0</v>
      </c>
      <c r="P39" s="971"/>
      <c r="Q39" s="500">
        <f t="shared" si="6"/>
        <v>0</v>
      </c>
      <c r="R39" s="970">
        <f t="shared" si="7"/>
        <v>0</v>
      </c>
      <c r="S39" s="971"/>
      <c r="T39" s="500">
        <f t="shared" si="8"/>
        <v>0</v>
      </c>
      <c r="U39" s="970">
        <f t="shared" si="9"/>
        <v>0</v>
      </c>
      <c r="V39" s="971"/>
      <c r="W39" s="976">
        <f t="shared" si="11"/>
        <v>0</v>
      </c>
      <c r="X39" s="977"/>
      <c r="Y39" s="7"/>
      <c r="Z39" s="461"/>
      <c r="AA39" s="461"/>
      <c r="AB39" s="461"/>
    </row>
    <row r="40" spans="1:28" s="59" customFormat="1" ht="11.25" customHeight="1">
      <c r="A40" s="967">
        <f>P75</f>
        <v>0</v>
      </c>
      <c r="B40" s="968"/>
      <c r="C40" s="968"/>
      <c r="D40" s="968"/>
      <c r="E40" s="969"/>
      <c r="F40" s="471">
        <f>P76</f>
        <v>0</v>
      </c>
      <c r="G40" s="475">
        <v>1</v>
      </c>
      <c r="H40" s="500">
        <f t="shared" si="0"/>
        <v>0</v>
      </c>
      <c r="I40" s="970">
        <f t="shared" si="1"/>
        <v>0</v>
      </c>
      <c r="J40" s="971"/>
      <c r="K40" s="500">
        <f t="shared" si="2"/>
        <v>0</v>
      </c>
      <c r="L40" s="970">
        <f t="shared" si="3"/>
        <v>0</v>
      </c>
      <c r="M40" s="971"/>
      <c r="N40" s="500">
        <f t="shared" si="4"/>
        <v>0</v>
      </c>
      <c r="O40" s="970">
        <f t="shared" si="5"/>
        <v>0</v>
      </c>
      <c r="P40" s="971"/>
      <c r="Q40" s="500">
        <f t="shared" si="6"/>
        <v>0</v>
      </c>
      <c r="R40" s="970">
        <f t="shared" si="7"/>
        <v>0</v>
      </c>
      <c r="S40" s="971"/>
      <c r="T40" s="500">
        <f t="shared" si="8"/>
        <v>0</v>
      </c>
      <c r="U40" s="970">
        <f t="shared" si="9"/>
        <v>0</v>
      </c>
      <c r="V40" s="971"/>
      <c r="W40" s="976">
        <f t="shared" si="11"/>
        <v>0</v>
      </c>
      <c r="X40" s="977"/>
      <c r="Y40" s="7"/>
      <c r="Z40" s="461"/>
      <c r="AA40" s="461"/>
      <c r="AB40" s="461"/>
    </row>
    <row r="41" spans="1:28" s="59" customFormat="1" ht="11.25" customHeight="1">
      <c r="A41" s="967">
        <f>Q75</f>
        <v>0</v>
      </c>
      <c r="B41" s="968"/>
      <c r="C41" s="968"/>
      <c r="D41" s="968"/>
      <c r="E41" s="969"/>
      <c r="F41" s="471">
        <f>Q76</f>
        <v>0</v>
      </c>
      <c r="G41" s="475">
        <v>1</v>
      </c>
      <c r="H41" s="500">
        <f t="shared" si="0"/>
        <v>0</v>
      </c>
      <c r="I41" s="970">
        <f t="shared" si="1"/>
        <v>0</v>
      </c>
      <c r="J41" s="971"/>
      <c r="K41" s="500">
        <f t="shared" si="2"/>
        <v>0</v>
      </c>
      <c r="L41" s="970">
        <f t="shared" si="3"/>
        <v>0</v>
      </c>
      <c r="M41" s="971"/>
      <c r="N41" s="500">
        <f t="shared" si="4"/>
        <v>0</v>
      </c>
      <c r="O41" s="970">
        <f t="shared" si="5"/>
        <v>0</v>
      </c>
      <c r="P41" s="971"/>
      <c r="Q41" s="500">
        <f t="shared" si="6"/>
        <v>0</v>
      </c>
      <c r="R41" s="970">
        <f t="shared" si="7"/>
        <v>0</v>
      </c>
      <c r="S41" s="971"/>
      <c r="T41" s="500">
        <f t="shared" si="8"/>
        <v>0</v>
      </c>
      <c r="U41" s="970">
        <f t="shared" si="9"/>
        <v>0</v>
      </c>
      <c r="V41" s="971"/>
      <c r="W41" s="976">
        <f t="shared" si="11"/>
        <v>0</v>
      </c>
      <c r="X41" s="977"/>
      <c r="Y41" s="7"/>
      <c r="Z41" s="461"/>
      <c r="AA41" s="461"/>
      <c r="AB41" s="461"/>
    </row>
    <row r="42" spans="1:28" s="59" customFormat="1" ht="11.25" customHeight="1">
      <c r="A42" s="967">
        <f>R75</f>
        <v>0</v>
      </c>
      <c r="B42" s="968"/>
      <c r="C42" s="968"/>
      <c r="D42" s="968"/>
      <c r="E42" s="969"/>
      <c r="F42" s="471">
        <f>R76</f>
        <v>0</v>
      </c>
      <c r="G42" s="475">
        <v>1</v>
      </c>
      <c r="H42" s="500">
        <f t="shared" si="0"/>
        <v>0</v>
      </c>
      <c r="I42" s="970">
        <f t="shared" si="1"/>
        <v>0</v>
      </c>
      <c r="J42" s="971"/>
      <c r="K42" s="500">
        <f t="shared" si="2"/>
        <v>0</v>
      </c>
      <c r="L42" s="970">
        <f t="shared" si="3"/>
        <v>0</v>
      </c>
      <c r="M42" s="971"/>
      <c r="N42" s="500">
        <f t="shared" si="4"/>
        <v>0</v>
      </c>
      <c r="O42" s="970">
        <f t="shared" si="5"/>
        <v>0</v>
      </c>
      <c r="P42" s="971"/>
      <c r="Q42" s="500">
        <f t="shared" si="6"/>
        <v>0</v>
      </c>
      <c r="R42" s="970">
        <f t="shared" si="7"/>
        <v>0</v>
      </c>
      <c r="S42" s="971"/>
      <c r="T42" s="500">
        <f t="shared" si="8"/>
        <v>0</v>
      </c>
      <c r="U42" s="970">
        <f t="shared" si="9"/>
        <v>0</v>
      </c>
      <c r="V42" s="971"/>
      <c r="W42" s="976">
        <f t="shared" si="11"/>
        <v>0</v>
      </c>
      <c r="X42" s="977"/>
      <c r="Y42" s="7"/>
      <c r="Z42" s="461"/>
      <c r="AA42" s="461"/>
      <c r="AB42" s="461"/>
    </row>
    <row r="43" spans="1:28" s="59" customFormat="1" ht="11.25" customHeight="1">
      <c r="A43" s="967">
        <f>S75</f>
        <v>0</v>
      </c>
      <c r="B43" s="968"/>
      <c r="C43" s="968"/>
      <c r="D43" s="968"/>
      <c r="E43" s="969"/>
      <c r="F43" s="471">
        <f>S76</f>
        <v>0</v>
      </c>
      <c r="G43" s="475">
        <v>1</v>
      </c>
      <c r="H43" s="500">
        <f t="shared" si="0"/>
        <v>0</v>
      </c>
      <c r="I43" s="970">
        <f t="shared" si="1"/>
        <v>0</v>
      </c>
      <c r="J43" s="971"/>
      <c r="K43" s="500">
        <f t="shared" si="2"/>
        <v>0</v>
      </c>
      <c r="L43" s="970">
        <f t="shared" si="3"/>
        <v>0</v>
      </c>
      <c r="M43" s="971"/>
      <c r="N43" s="500">
        <f t="shared" si="4"/>
        <v>0</v>
      </c>
      <c r="O43" s="970">
        <f t="shared" si="5"/>
        <v>0</v>
      </c>
      <c r="P43" s="971"/>
      <c r="Q43" s="500">
        <f t="shared" si="6"/>
        <v>0</v>
      </c>
      <c r="R43" s="970">
        <f t="shared" si="7"/>
        <v>0</v>
      </c>
      <c r="S43" s="971"/>
      <c r="T43" s="500">
        <f t="shared" si="8"/>
        <v>0</v>
      </c>
      <c r="U43" s="970">
        <f t="shared" si="9"/>
        <v>0</v>
      </c>
      <c r="V43" s="971"/>
      <c r="W43" s="976">
        <f t="shared" si="11"/>
        <v>0</v>
      </c>
      <c r="X43" s="977"/>
      <c r="Y43" s="7"/>
      <c r="Z43" s="461"/>
      <c r="AA43" s="461"/>
      <c r="AB43" s="461"/>
    </row>
    <row r="44" spans="1:28" s="59" customFormat="1" ht="11.25" customHeight="1" thickBot="1">
      <c r="A44" s="978">
        <f>T75</f>
        <v>0</v>
      </c>
      <c r="B44" s="979"/>
      <c r="C44" s="979"/>
      <c r="D44" s="979"/>
      <c r="E44" s="980"/>
      <c r="F44" s="472">
        <f>T76</f>
        <v>0</v>
      </c>
      <c r="G44" s="501">
        <v>1</v>
      </c>
      <c r="H44" s="502">
        <f t="shared" si="0"/>
        <v>0</v>
      </c>
      <c r="I44" s="965">
        <f t="shared" si="1"/>
        <v>0</v>
      </c>
      <c r="J44" s="966"/>
      <c r="K44" s="502">
        <f t="shared" si="2"/>
        <v>0</v>
      </c>
      <c r="L44" s="965">
        <f t="shared" si="3"/>
        <v>0</v>
      </c>
      <c r="M44" s="966"/>
      <c r="N44" s="502">
        <f t="shared" si="4"/>
        <v>0</v>
      </c>
      <c r="O44" s="965">
        <f t="shared" si="5"/>
        <v>0</v>
      </c>
      <c r="P44" s="966"/>
      <c r="Q44" s="502">
        <f t="shared" si="6"/>
        <v>0</v>
      </c>
      <c r="R44" s="965">
        <f t="shared" si="7"/>
        <v>0</v>
      </c>
      <c r="S44" s="966"/>
      <c r="T44" s="502">
        <f t="shared" si="8"/>
        <v>0</v>
      </c>
      <c r="U44" s="965">
        <f t="shared" si="9"/>
        <v>0</v>
      </c>
      <c r="V44" s="966"/>
      <c r="W44" s="1021">
        <f t="shared" si="11"/>
        <v>0</v>
      </c>
      <c r="X44" s="1022"/>
      <c r="Y44" s="7"/>
      <c r="Z44" s="461"/>
      <c r="AA44" s="461"/>
      <c r="AB44" s="461"/>
    </row>
    <row r="45" spans="1:28" s="59" customFormat="1" ht="11.25" customHeight="1" thickTop="1">
      <c r="A45" s="1079" t="s">
        <v>2676</v>
      </c>
      <c r="B45" s="1080"/>
      <c r="C45" s="1080"/>
      <c r="D45" s="1080"/>
      <c r="E45" s="1080"/>
      <c r="F45" s="479"/>
      <c r="G45" s="503"/>
      <c r="H45" s="1028">
        <f>SUM(I27:I44)</f>
        <v>5000</v>
      </c>
      <c r="I45" s="1029"/>
      <c r="J45" s="1030"/>
      <c r="K45" s="1028">
        <f>SUM(L27:L44)</f>
        <v>7000</v>
      </c>
      <c r="L45" s="1029"/>
      <c r="M45" s="1030"/>
      <c r="N45" s="1028">
        <f>SUM(O27:O44)</f>
        <v>0</v>
      </c>
      <c r="O45" s="1029"/>
      <c r="P45" s="1030"/>
      <c r="Q45" s="1028">
        <f>SUM(R27:R44)</f>
        <v>0</v>
      </c>
      <c r="R45" s="1029"/>
      <c r="S45" s="1030"/>
      <c r="T45" s="1028">
        <f>SUM(U27:U44)</f>
        <v>0</v>
      </c>
      <c r="U45" s="1029"/>
      <c r="V45" s="1030"/>
      <c r="W45" s="1075">
        <f>SUM(W27:W44)</f>
        <v>12000</v>
      </c>
      <c r="X45" s="1076"/>
      <c r="Z45" s="461"/>
      <c r="AA45" s="461"/>
      <c r="AB45" s="461"/>
    </row>
    <row r="46" spans="1:28" s="59" customFormat="1" ht="11.25" customHeight="1">
      <c r="A46" s="1058" t="s">
        <v>2802</v>
      </c>
      <c r="B46" s="1059"/>
      <c r="C46" s="1059"/>
      <c r="D46" s="1059"/>
      <c r="E46" s="1059"/>
      <c r="F46" s="480"/>
      <c r="G46" s="504"/>
      <c r="H46" s="1031">
        <f>IF(Input!D87,H45/Input!D98,0)</f>
        <v>0</v>
      </c>
      <c r="I46" s="1032"/>
      <c r="J46" s="1033"/>
      <c r="K46" s="1094">
        <f>IF(Input!G87,K45/Input!G98,0)</f>
        <v>0</v>
      </c>
      <c r="L46" s="1032"/>
      <c r="M46" s="1032"/>
      <c r="N46" s="1032">
        <f>IF(Input!J87,N45/Input!J98,0)</f>
        <v>0</v>
      </c>
      <c r="O46" s="1032"/>
      <c r="P46" s="1074"/>
      <c r="Q46" s="1031">
        <f>IF(Input!M87,Q45/Input!M98,0)</f>
        <v>0</v>
      </c>
      <c r="R46" s="1032"/>
      <c r="S46" s="1033"/>
      <c r="T46" s="1031">
        <f>IF(Input!P87,T45/Input!P98,0)</f>
        <v>0</v>
      </c>
      <c r="U46" s="1032"/>
      <c r="V46" s="1033"/>
      <c r="W46" s="981">
        <f>IF(Input!D87,W45/SUM(Input!D98,Input!G98,Input!J98,Input!M98,Input!P98),0)</f>
        <v>0</v>
      </c>
      <c r="X46" s="982"/>
      <c r="Z46" s="461"/>
      <c r="AA46" s="461"/>
      <c r="AB46" s="461"/>
    </row>
    <row r="47" spans="1:28" s="59" customFormat="1" ht="11.25" customHeight="1">
      <c r="A47" s="151"/>
      <c r="B47" s="151"/>
      <c r="C47" s="151"/>
      <c r="D47" s="151"/>
      <c r="E47" s="151"/>
      <c r="F47" s="151"/>
      <c r="G47" s="524" t="s">
        <v>1494</v>
      </c>
      <c r="H47" s="151"/>
      <c r="I47" s="151"/>
      <c r="J47" s="151"/>
      <c r="K47" s="151"/>
      <c r="L47" s="151"/>
      <c r="M47" s="151"/>
      <c r="N47" s="151"/>
      <c r="O47" s="151"/>
      <c r="P47" s="151"/>
      <c r="Q47" s="151"/>
      <c r="R47" s="151"/>
      <c r="S47" s="151"/>
      <c r="T47" s="151"/>
      <c r="U47" s="151"/>
      <c r="V47" s="151"/>
      <c r="W47" s="151"/>
      <c r="X47" s="151"/>
      <c r="Z47" s="460"/>
      <c r="AA47" s="460"/>
      <c r="AB47" s="460"/>
    </row>
    <row r="48" spans="1:28" s="59" customFormat="1" ht="17.25">
      <c r="A48" s="1064" t="s">
        <v>2939</v>
      </c>
      <c r="B48" s="1065"/>
      <c r="C48" s="1065"/>
      <c r="D48" s="1065"/>
      <c r="E48" s="1062">
        <v>39532</v>
      </c>
      <c r="F48" s="1062"/>
      <c r="G48" s="1063"/>
      <c r="H48" s="1066" t="s">
        <v>1731</v>
      </c>
      <c r="I48" s="1067"/>
      <c r="J48" s="1067"/>
      <c r="K48" s="1067"/>
      <c r="L48" s="1067"/>
      <c r="M48" s="1067"/>
      <c r="N48" s="1067"/>
      <c r="O48" s="1067"/>
      <c r="P48" s="1067"/>
      <c r="Q48" s="1067"/>
      <c r="R48" s="1067"/>
      <c r="S48" s="1067"/>
      <c r="T48" s="1067"/>
      <c r="U48" s="1067"/>
      <c r="V48" s="1067"/>
      <c r="W48" s="1067"/>
      <c r="X48" s="1068"/>
      <c r="Z48" s="460"/>
      <c r="AA48" s="460"/>
      <c r="AB48" s="460"/>
    </row>
    <row r="49" spans="1:28" s="59" customFormat="1" ht="11.25" customHeight="1">
      <c r="A49" s="1034" t="s">
        <v>1725</v>
      </c>
      <c r="B49" s="1035"/>
      <c r="C49" s="1035"/>
      <c r="D49" s="1035"/>
      <c r="E49" s="1036"/>
      <c r="F49" s="1034" t="s">
        <v>1729</v>
      </c>
      <c r="G49" s="490"/>
      <c r="H49" s="1025">
        <f>IF(Input!D87&gt;1,"CULVERT #1",0)</f>
        <v>0</v>
      </c>
      <c r="I49" s="1026"/>
      <c r="J49" s="1027"/>
      <c r="K49" s="1025">
        <f>IF(Input!G87&gt;1,"CULVERT #2",0)</f>
        <v>0</v>
      </c>
      <c r="L49" s="1026"/>
      <c r="M49" s="1027"/>
      <c r="N49" s="1025">
        <f>IF(Input!J87&gt;1,"CULVERT #3",0)</f>
        <v>0</v>
      </c>
      <c r="O49" s="1026"/>
      <c r="P49" s="1027"/>
      <c r="Q49" s="1025">
        <f>IF(Input!M87&gt;1,"CULVERT #4",0)</f>
        <v>0</v>
      </c>
      <c r="R49" s="1026"/>
      <c r="S49" s="1027"/>
      <c r="T49" s="1025">
        <f>IF(Input!P87&gt;1,"CULVERT #5",0)</f>
        <v>0</v>
      </c>
      <c r="U49" s="1026"/>
      <c r="V49" s="1027"/>
      <c r="W49" s="1010" t="s">
        <v>91</v>
      </c>
      <c r="X49" s="1011"/>
      <c r="Z49" s="460"/>
      <c r="AA49" s="460"/>
      <c r="AB49" s="460"/>
    </row>
    <row r="50" spans="1:28" s="59" customFormat="1" ht="11.25" customHeight="1">
      <c r="A50" s="973"/>
      <c r="B50" s="1037"/>
      <c r="C50" s="1037"/>
      <c r="D50" s="1037"/>
      <c r="E50" s="1038"/>
      <c r="F50" s="973"/>
      <c r="G50" s="491"/>
      <c r="H50" s="495" t="s">
        <v>1362</v>
      </c>
      <c r="I50" s="473" t="s">
        <v>1726</v>
      </c>
      <c r="J50" s="489" t="s">
        <v>1363</v>
      </c>
      <c r="K50" s="495" t="s">
        <v>1362</v>
      </c>
      <c r="L50" s="473" t="s">
        <v>1726</v>
      </c>
      <c r="M50" s="489" t="s">
        <v>1363</v>
      </c>
      <c r="N50" s="495" t="s">
        <v>1362</v>
      </c>
      <c r="O50" s="473" t="s">
        <v>1726</v>
      </c>
      <c r="P50" s="489" t="s">
        <v>1363</v>
      </c>
      <c r="Q50" s="495" t="s">
        <v>1362</v>
      </c>
      <c r="R50" s="473" t="s">
        <v>1726</v>
      </c>
      <c r="S50" s="489" t="s">
        <v>1363</v>
      </c>
      <c r="T50" s="495" t="s">
        <v>1362</v>
      </c>
      <c r="U50" s="473" t="s">
        <v>1726</v>
      </c>
      <c r="V50" s="489" t="s">
        <v>1363</v>
      </c>
      <c r="W50" s="1019" t="s">
        <v>1363</v>
      </c>
      <c r="X50" s="1020"/>
      <c r="Z50" s="460"/>
      <c r="AA50" s="460"/>
      <c r="AB50" s="460"/>
    </row>
    <row r="51" spans="1:28" s="57" customFormat="1" ht="11.25" customHeight="1">
      <c r="A51" s="1069">
        <f>C75</f>
        <v>0</v>
      </c>
      <c r="B51" s="1070"/>
      <c r="C51" s="1070"/>
      <c r="D51" s="1070"/>
      <c r="E51" s="1071"/>
      <c r="F51" s="476">
        <f>C76</f>
        <v>0</v>
      </c>
      <c r="G51" s="492"/>
      <c r="H51" s="505">
        <f>C77</f>
        <v>0</v>
      </c>
      <c r="I51" s="506">
        <f>G27</f>
        <v>900.17</v>
      </c>
      <c r="J51" s="507">
        <f>H51*I51</f>
        <v>0</v>
      </c>
      <c r="K51" s="505">
        <f>C78</f>
        <v>0</v>
      </c>
      <c r="L51" s="506">
        <f>I51</f>
        <v>900.17</v>
      </c>
      <c r="M51" s="507">
        <f>K51*L51</f>
        <v>0</v>
      </c>
      <c r="N51" s="505">
        <f>C79</f>
        <v>0</v>
      </c>
      <c r="O51" s="506">
        <f>L51</f>
        <v>900.17</v>
      </c>
      <c r="P51" s="507">
        <f>N51*O51</f>
        <v>0</v>
      </c>
      <c r="Q51" s="505">
        <f>C80</f>
        <v>0</v>
      </c>
      <c r="R51" s="506">
        <f>O51</f>
        <v>900.17</v>
      </c>
      <c r="S51" s="507">
        <f>Q51*R51</f>
        <v>0</v>
      </c>
      <c r="T51" s="505">
        <f>C81</f>
        <v>0</v>
      </c>
      <c r="U51" s="506">
        <f>R51</f>
        <v>900.17</v>
      </c>
      <c r="V51" s="507">
        <f>T51*U51</f>
        <v>0</v>
      </c>
      <c r="W51" s="1077">
        <f aca="true" t="shared" si="12" ref="W51:W58">SUM(J51,M51,P51,S51,V51)</f>
        <v>0</v>
      </c>
      <c r="X51" s="1078"/>
      <c r="Z51" s="460"/>
      <c r="AA51" s="460"/>
      <c r="AB51" s="460"/>
    </row>
    <row r="52" spans="1:28" s="57" customFormat="1" ht="11.25" customHeight="1">
      <c r="A52" s="967">
        <f>D75</f>
        <v>0</v>
      </c>
      <c r="B52" s="968"/>
      <c r="C52" s="968"/>
      <c r="D52" s="968"/>
      <c r="E52" s="969"/>
      <c r="F52" s="477">
        <f>D76</f>
        <v>0</v>
      </c>
      <c r="G52" s="493"/>
      <c r="H52" s="508">
        <f>D77</f>
        <v>0</v>
      </c>
      <c r="I52" s="509">
        <f aca="true" t="shared" si="13" ref="I52:I68">G28</f>
        <v>1.7</v>
      </c>
      <c r="J52" s="510">
        <f aca="true" t="shared" si="14" ref="J52:J58">H52*I52</f>
        <v>0</v>
      </c>
      <c r="K52" s="508">
        <f>D78</f>
        <v>0</v>
      </c>
      <c r="L52" s="509">
        <f aca="true" t="shared" si="15" ref="L52:L57">I52</f>
        <v>1.7</v>
      </c>
      <c r="M52" s="510">
        <f aca="true" t="shared" si="16" ref="M52:M58">K52*L52</f>
        <v>0</v>
      </c>
      <c r="N52" s="508">
        <f>D79</f>
        <v>0</v>
      </c>
      <c r="O52" s="509">
        <f aca="true" t="shared" si="17" ref="O52:O57">L52</f>
        <v>1.7</v>
      </c>
      <c r="P52" s="510">
        <f aca="true" t="shared" si="18" ref="P52:P58">N52*O52</f>
        <v>0</v>
      </c>
      <c r="Q52" s="508">
        <f>D80</f>
        <v>0</v>
      </c>
      <c r="R52" s="509">
        <f aca="true" t="shared" si="19" ref="R52:R57">O52</f>
        <v>1.7</v>
      </c>
      <c r="S52" s="510">
        <f aca="true" t="shared" si="20" ref="S52:S58">Q52*R52</f>
        <v>0</v>
      </c>
      <c r="T52" s="508">
        <f>D81</f>
        <v>0</v>
      </c>
      <c r="U52" s="509">
        <f aca="true" t="shared" si="21" ref="U52:U57">R52</f>
        <v>1.7</v>
      </c>
      <c r="V52" s="510">
        <f aca="true" t="shared" si="22" ref="V52:V58">T52*U52</f>
        <v>0</v>
      </c>
      <c r="W52" s="983">
        <f t="shared" si="12"/>
        <v>0</v>
      </c>
      <c r="X52" s="976"/>
      <c r="Z52" s="460"/>
      <c r="AA52" s="460"/>
      <c r="AB52" s="460"/>
    </row>
    <row r="53" spans="1:28" s="57" customFormat="1" ht="11.25" customHeight="1">
      <c r="A53" s="967">
        <f>E75</f>
        <v>0</v>
      </c>
      <c r="B53" s="968"/>
      <c r="C53" s="968"/>
      <c r="D53" s="968"/>
      <c r="E53" s="969"/>
      <c r="F53" s="477">
        <f>E76</f>
        <v>0</v>
      </c>
      <c r="G53" s="493"/>
      <c r="H53" s="508">
        <f>E77</f>
        <v>0</v>
      </c>
      <c r="I53" s="509">
        <f t="shared" si="13"/>
        <v>43.65</v>
      </c>
      <c r="J53" s="510">
        <f t="shared" si="14"/>
        <v>0</v>
      </c>
      <c r="K53" s="508">
        <f>E78</f>
        <v>0</v>
      </c>
      <c r="L53" s="509">
        <f t="shared" si="15"/>
        <v>43.65</v>
      </c>
      <c r="M53" s="510">
        <f t="shared" si="16"/>
        <v>0</v>
      </c>
      <c r="N53" s="508">
        <f>E79</f>
        <v>0</v>
      </c>
      <c r="O53" s="509">
        <f t="shared" si="17"/>
        <v>43.65</v>
      </c>
      <c r="P53" s="510">
        <f t="shared" si="18"/>
        <v>0</v>
      </c>
      <c r="Q53" s="508">
        <f>E80</f>
        <v>0</v>
      </c>
      <c r="R53" s="509">
        <f t="shared" si="19"/>
        <v>43.65</v>
      </c>
      <c r="S53" s="510">
        <f t="shared" si="20"/>
        <v>0</v>
      </c>
      <c r="T53" s="508">
        <f>E81</f>
        <v>0</v>
      </c>
      <c r="U53" s="509">
        <f t="shared" si="21"/>
        <v>43.65</v>
      </c>
      <c r="V53" s="510">
        <f t="shared" si="22"/>
        <v>0</v>
      </c>
      <c r="W53" s="983">
        <f t="shared" si="12"/>
        <v>0</v>
      </c>
      <c r="X53" s="976"/>
      <c r="Z53" s="460"/>
      <c r="AA53" s="460"/>
      <c r="AB53" s="460"/>
    </row>
    <row r="54" spans="1:28" s="57" customFormat="1" ht="11.25" customHeight="1">
      <c r="A54" s="967">
        <f>F75</f>
        <v>0</v>
      </c>
      <c r="B54" s="968"/>
      <c r="C54" s="968"/>
      <c r="D54" s="968"/>
      <c r="E54" s="969"/>
      <c r="F54" s="477">
        <f>F76</f>
        <v>0</v>
      </c>
      <c r="G54" s="493"/>
      <c r="H54" s="508">
        <f>F77</f>
        <v>0</v>
      </c>
      <c r="I54" s="509">
        <f t="shared" si="13"/>
        <v>56.97</v>
      </c>
      <c r="J54" s="510">
        <f t="shared" si="14"/>
        <v>0</v>
      </c>
      <c r="K54" s="508">
        <f>F78</f>
        <v>0</v>
      </c>
      <c r="L54" s="509">
        <f t="shared" si="15"/>
        <v>56.97</v>
      </c>
      <c r="M54" s="510">
        <f t="shared" si="16"/>
        <v>0</v>
      </c>
      <c r="N54" s="508">
        <f>F79</f>
        <v>0</v>
      </c>
      <c r="O54" s="509">
        <f t="shared" si="17"/>
        <v>56.97</v>
      </c>
      <c r="P54" s="510">
        <f t="shared" si="18"/>
        <v>0</v>
      </c>
      <c r="Q54" s="508">
        <f>F80</f>
        <v>0</v>
      </c>
      <c r="R54" s="509">
        <f t="shared" si="19"/>
        <v>56.97</v>
      </c>
      <c r="S54" s="510">
        <f t="shared" si="20"/>
        <v>0</v>
      </c>
      <c r="T54" s="508">
        <f>F81</f>
        <v>0</v>
      </c>
      <c r="U54" s="509">
        <f t="shared" si="21"/>
        <v>56.97</v>
      </c>
      <c r="V54" s="510">
        <f t="shared" si="22"/>
        <v>0</v>
      </c>
      <c r="W54" s="983">
        <f t="shared" si="12"/>
        <v>0</v>
      </c>
      <c r="X54" s="976"/>
      <c r="Z54" s="460"/>
      <c r="AA54" s="460"/>
      <c r="AB54" s="460"/>
    </row>
    <row r="55" spans="1:28" s="57" customFormat="1" ht="11.25" customHeight="1">
      <c r="A55" s="967">
        <f>G75</f>
        <v>0</v>
      </c>
      <c r="B55" s="968"/>
      <c r="C55" s="968"/>
      <c r="D55" s="968"/>
      <c r="E55" s="969"/>
      <c r="F55" s="477">
        <f>G76</f>
        <v>0</v>
      </c>
      <c r="G55" s="493"/>
      <c r="H55" s="511">
        <f>G77</f>
        <v>0</v>
      </c>
      <c r="I55" s="512">
        <f>I31</f>
        <v>5000</v>
      </c>
      <c r="J55" s="510">
        <f t="shared" si="14"/>
        <v>0</v>
      </c>
      <c r="K55" s="508">
        <f>G78</f>
        <v>0</v>
      </c>
      <c r="L55" s="512">
        <f>L31</f>
        <v>7000</v>
      </c>
      <c r="M55" s="510">
        <f t="shared" si="16"/>
        <v>0</v>
      </c>
      <c r="N55" s="508">
        <f>G79</f>
        <v>0</v>
      </c>
      <c r="O55" s="512">
        <f>O31</f>
        <v>0</v>
      </c>
      <c r="P55" s="510">
        <f t="shared" si="18"/>
        <v>0</v>
      </c>
      <c r="Q55" s="508">
        <f>G80</f>
        <v>0</v>
      </c>
      <c r="R55" s="512">
        <f>R31</f>
        <v>0</v>
      </c>
      <c r="S55" s="510">
        <f t="shared" si="20"/>
        <v>0</v>
      </c>
      <c r="T55" s="508">
        <f>G81</f>
        <v>0</v>
      </c>
      <c r="U55" s="512">
        <f>U31</f>
        <v>0</v>
      </c>
      <c r="V55" s="510">
        <f t="shared" si="22"/>
        <v>0</v>
      </c>
      <c r="W55" s="983">
        <f t="shared" si="12"/>
        <v>0</v>
      </c>
      <c r="X55" s="976"/>
      <c r="Z55" s="460"/>
      <c r="AA55" s="460"/>
      <c r="AB55" s="460"/>
    </row>
    <row r="56" spans="1:28" s="57" customFormat="1" ht="11.25" customHeight="1">
      <c r="A56" s="967">
        <f>H75</f>
        <v>0</v>
      </c>
      <c r="B56" s="968"/>
      <c r="C56" s="968"/>
      <c r="D56" s="968"/>
      <c r="E56" s="969"/>
      <c r="F56" s="477">
        <f>H76</f>
        <v>0</v>
      </c>
      <c r="G56" s="493"/>
      <c r="H56" s="508">
        <f>H77</f>
        <v>0</v>
      </c>
      <c r="I56" s="509">
        <f t="shared" si="13"/>
        <v>10.87</v>
      </c>
      <c r="J56" s="510">
        <f t="shared" si="14"/>
        <v>0</v>
      </c>
      <c r="K56" s="508">
        <f>H78</f>
        <v>0</v>
      </c>
      <c r="L56" s="509">
        <f t="shared" si="15"/>
        <v>10.87</v>
      </c>
      <c r="M56" s="510">
        <f t="shared" si="16"/>
        <v>0</v>
      </c>
      <c r="N56" s="508">
        <f>H79</f>
        <v>0</v>
      </c>
      <c r="O56" s="509">
        <f t="shared" si="17"/>
        <v>10.87</v>
      </c>
      <c r="P56" s="510">
        <f t="shared" si="18"/>
        <v>0</v>
      </c>
      <c r="Q56" s="508">
        <f>H80</f>
        <v>0</v>
      </c>
      <c r="R56" s="509">
        <f t="shared" si="19"/>
        <v>10.87</v>
      </c>
      <c r="S56" s="510">
        <f t="shared" si="20"/>
        <v>0</v>
      </c>
      <c r="T56" s="508">
        <f>H81</f>
        <v>0</v>
      </c>
      <c r="U56" s="509">
        <f t="shared" si="21"/>
        <v>10.87</v>
      </c>
      <c r="V56" s="510">
        <f t="shared" si="22"/>
        <v>0</v>
      </c>
      <c r="W56" s="983">
        <f t="shared" si="12"/>
        <v>0</v>
      </c>
      <c r="X56" s="976"/>
      <c r="Z56" s="460"/>
      <c r="AA56" s="460"/>
      <c r="AB56" s="460"/>
    </row>
    <row r="57" spans="1:28" s="57" customFormat="1" ht="11.25" customHeight="1">
      <c r="A57" s="967">
        <f>I75</f>
        <v>0</v>
      </c>
      <c r="B57" s="968"/>
      <c r="C57" s="968"/>
      <c r="D57" s="968"/>
      <c r="E57" s="969"/>
      <c r="F57" s="477">
        <f>I76</f>
        <v>0</v>
      </c>
      <c r="G57" s="493"/>
      <c r="H57" s="508">
        <f>I77</f>
        <v>0</v>
      </c>
      <c r="I57" s="509">
        <f t="shared" si="13"/>
        <v>608.15</v>
      </c>
      <c r="J57" s="510">
        <f t="shared" si="14"/>
        <v>0</v>
      </c>
      <c r="K57" s="508">
        <f>I78</f>
        <v>0</v>
      </c>
      <c r="L57" s="509">
        <f t="shared" si="15"/>
        <v>608.15</v>
      </c>
      <c r="M57" s="510">
        <f t="shared" si="16"/>
        <v>0</v>
      </c>
      <c r="N57" s="508">
        <f>I79</f>
        <v>0</v>
      </c>
      <c r="O57" s="509">
        <f t="shared" si="17"/>
        <v>608.15</v>
      </c>
      <c r="P57" s="510">
        <f t="shared" si="18"/>
        <v>0</v>
      </c>
      <c r="Q57" s="508">
        <f>I80</f>
        <v>0</v>
      </c>
      <c r="R57" s="509">
        <f t="shared" si="19"/>
        <v>608.15</v>
      </c>
      <c r="S57" s="510">
        <f t="shared" si="20"/>
        <v>0</v>
      </c>
      <c r="T57" s="508">
        <f>I81</f>
        <v>0</v>
      </c>
      <c r="U57" s="509">
        <f t="shared" si="21"/>
        <v>608.15</v>
      </c>
      <c r="V57" s="510">
        <f t="shared" si="22"/>
        <v>0</v>
      </c>
      <c r="W57" s="983">
        <f t="shared" si="12"/>
        <v>0</v>
      </c>
      <c r="X57" s="976"/>
      <c r="Z57" s="460"/>
      <c r="AA57" s="460"/>
      <c r="AB57" s="460"/>
    </row>
    <row r="58" spans="1:28" s="57" customFormat="1" ht="11.25" customHeight="1">
      <c r="A58" s="967">
        <f>J75</f>
        <v>0</v>
      </c>
      <c r="B58" s="968"/>
      <c r="C58" s="968"/>
      <c r="D58" s="968"/>
      <c r="E58" s="969"/>
      <c r="F58" s="477">
        <f>J76</f>
        <v>0</v>
      </c>
      <c r="G58" s="493"/>
      <c r="H58" s="511">
        <f>J77</f>
        <v>0</v>
      </c>
      <c r="I58" s="512">
        <f t="shared" si="13"/>
        <v>1000</v>
      </c>
      <c r="J58" s="510">
        <f t="shared" si="14"/>
        <v>0</v>
      </c>
      <c r="K58" s="508">
        <f>J78</f>
        <v>0</v>
      </c>
      <c r="L58" s="512">
        <f>I58</f>
        <v>1000</v>
      </c>
      <c r="M58" s="510">
        <f t="shared" si="16"/>
        <v>0</v>
      </c>
      <c r="N58" s="508">
        <f>J79</f>
        <v>0</v>
      </c>
      <c r="O58" s="512">
        <f>L58</f>
        <v>1000</v>
      </c>
      <c r="P58" s="510">
        <f t="shared" si="18"/>
        <v>0</v>
      </c>
      <c r="Q58" s="508">
        <f>J80</f>
        <v>0</v>
      </c>
      <c r="R58" s="512">
        <f>O58</f>
        <v>1000</v>
      </c>
      <c r="S58" s="510">
        <f t="shared" si="20"/>
        <v>0</v>
      </c>
      <c r="T58" s="508">
        <f>J81</f>
        <v>0</v>
      </c>
      <c r="U58" s="512">
        <f>R58</f>
        <v>1000</v>
      </c>
      <c r="V58" s="510">
        <f t="shared" si="22"/>
        <v>0</v>
      </c>
      <c r="W58" s="983">
        <f t="shared" si="12"/>
        <v>0</v>
      </c>
      <c r="X58" s="976"/>
      <c r="Z58" s="460"/>
      <c r="AA58" s="460"/>
      <c r="AB58" s="460"/>
    </row>
    <row r="59" spans="1:28" s="57" customFormat="1" ht="11.25" customHeight="1">
      <c r="A59" s="967">
        <f>K75</f>
        <v>0</v>
      </c>
      <c r="B59" s="968"/>
      <c r="C59" s="968"/>
      <c r="D59" s="968"/>
      <c r="E59" s="969"/>
      <c r="F59" s="477">
        <f>K76</f>
        <v>0</v>
      </c>
      <c r="G59" s="493"/>
      <c r="H59" s="511">
        <f>K77</f>
        <v>0</v>
      </c>
      <c r="I59" s="512">
        <f t="shared" si="13"/>
        <v>1073.16</v>
      </c>
      <c r="J59" s="510">
        <f aca="true" t="shared" si="23" ref="J59:J68">H59*I59</f>
        <v>0</v>
      </c>
      <c r="K59" s="508">
        <f>K78</f>
        <v>0</v>
      </c>
      <c r="L59" s="512">
        <f aca="true" t="shared" si="24" ref="L59:L68">I59</f>
        <v>1073.16</v>
      </c>
      <c r="M59" s="510">
        <f aca="true" t="shared" si="25" ref="M59:M68">K59*L59</f>
        <v>0</v>
      </c>
      <c r="N59" s="508">
        <f>K79</f>
        <v>0</v>
      </c>
      <c r="O59" s="512">
        <f aca="true" t="shared" si="26" ref="O59:O68">L59</f>
        <v>1073.16</v>
      </c>
      <c r="P59" s="510">
        <f aca="true" t="shared" si="27" ref="P59:P68">N59*O59</f>
        <v>0</v>
      </c>
      <c r="Q59" s="508">
        <f>K80</f>
        <v>0</v>
      </c>
      <c r="R59" s="512">
        <f aca="true" t="shared" si="28" ref="R59:R68">O59</f>
        <v>1073.16</v>
      </c>
      <c r="S59" s="510">
        <f aca="true" t="shared" si="29" ref="S59:S68">Q59*R59</f>
        <v>0</v>
      </c>
      <c r="T59" s="508">
        <f>K81</f>
        <v>0</v>
      </c>
      <c r="U59" s="512">
        <f aca="true" t="shared" si="30" ref="U59:U68">R59</f>
        <v>1073.16</v>
      </c>
      <c r="V59" s="510">
        <f aca="true" t="shared" si="31" ref="V59:V68">T59*U59</f>
        <v>0</v>
      </c>
      <c r="W59" s="983">
        <f aca="true" t="shared" si="32" ref="W59:W68">SUM(J59,M59,P59,S59,V59)</f>
        <v>0</v>
      </c>
      <c r="X59" s="976"/>
      <c r="Z59" s="460"/>
      <c r="AA59" s="460"/>
      <c r="AB59" s="460"/>
    </row>
    <row r="60" spans="1:28" s="57" customFormat="1" ht="11.25" customHeight="1">
      <c r="A60" s="967">
        <f>L75</f>
        <v>0</v>
      </c>
      <c r="B60" s="968"/>
      <c r="C60" s="968"/>
      <c r="D60" s="968"/>
      <c r="E60" s="969"/>
      <c r="F60" s="477">
        <f>L76</f>
        <v>0</v>
      </c>
      <c r="G60" s="493"/>
      <c r="H60" s="511">
        <f>L77</f>
        <v>0</v>
      </c>
      <c r="I60" s="512">
        <f t="shared" si="13"/>
        <v>69.47</v>
      </c>
      <c r="J60" s="510">
        <f t="shared" si="23"/>
        <v>0</v>
      </c>
      <c r="K60" s="508">
        <f>L78</f>
        <v>0</v>
      </c>
      <c r="L60" s="512">
        <f t="shared" si="24"/>
        <v>69.47</v>
      </c>
      <c r="M60" s="510">
        <f t="shared" si="25"/>
        <v>0</v>
      </c>
      <c r="N60" s="508">
        <f>L79</f>
        <v>0</v>
      </c>
      <c r="O60" s="512">
        <f t="shared" si="26"/>
        <v>69.47</v>
      </c>
      <c r="P60" s="510">
        <f t="shared" si="27"/>
        <v>0</v>
      </c>
      <c r="Q60" s="508">
        <f>L80</f>
        <v>0</v>
      </c>
      <c r="R60" s="512">
        <f t="shared" si="28"/>
        <v>69.47</v>
      </c>
      <c r="S60" s="510">
        <f t="shared" si="29"/>
        <v>0</v>
      </c>
      <c r="T60" s="508">
        <f>L81</f>
        <v>0</v>
      </c>
      <c r="U60" s="512">
        <f t="shared" si="30"/>
        <v>69.47</v>
      </c>
      <c r="V60" s="510">
        <f t="shared" si="31"/>
        <v>0</v>
      </c>
      <c r="W60" s="983">
        <f t="shared" si="32"/>
        <v>0</v>
      </c>
      <c r="X60" s="976"/>
      <c r="Z60" s="460"/>
      <c r="AA60" s="460"/>
      <c r="AB60" s="460"/>
    </row>
    <row r="61" spans="1:28" s="57" customFormat="1" ht="11.25" customHeight="1">
      <c r="A61" s="967">
        <f>M75</f>
        <v>0</v>
      </c>
      <c r="B61" s="968"/>
      <c r="C61" s="968"/>
      <c r="D61" s="968"/>
      <c r="E61" s="969"/>
      <c r="F61" s="477">
        <f>M76</f>
        <v>0</v>
      </c>
      <c r="G61" s="493"/>
      <c r="H61" s="511">
        <f>M77</f>
        <v>0</v>
      </c>
      <c r="I61" s="512">
        <f t="shared" si="13"/>
        <v>64.68</v>
      </c>
      <c r="J61" s="510">
        <f t="shared" si="23"/>
        <v>0</v>
      </c>
      <c r="K61" s="508">
        <f>M78</f>
        <v>0</v>
      </c>
      <c r="L61" s="512">
        <f t="shared" si="24"/>
        <v>64.68</v>
      </c>
      <c r="M61" s="510">
        <f t="shared" si="25"/>
        <v>0</v>
      </c>
      <c r="N61" s="508">
        <f>M79</f>
        <v>0</v>
      </c>
      <c r="O61" s="512">
        <f t="shared" si="26"/>
        <v>64.68</v>
      </c>
      <c r="P61" s="510">
        <f t="shared" si="27"/>
        <v>0</v>
      </c>
      <c r="Q61" s="508">
        <f>M80</f>
        <v>0</v>
      </c>
      <c r="R61" s="512">
        <f t="shared" si="28"/>
        <v>64.68</v>
      </c>
      <c r="S61" s="510">
        <f t="shared" si="29"/>
        <v>0</v>
      </c>
      <c r="T61" s="508">
        <f>M81</f>
        <v>0</v>
      </c>
      <c r="U61" s="512">
        <f t="shared" si="30"/>
        <v>64.68</v>
      </c>
      <c r="V61" s="510">
        <f t="shared" si="31"/>
        <v>0</v>
      </c>
      <c r="W61" s="983">
        <f t="shared" si="32"/>
        <v>0</v>
      </c>
      <c r="X61" s="976"/>
      <c r="Z61" s="460"/>
      <c r="AA61" s="460"/>
      <c r="AB61" s="460"/>
    </row>
    <row r="62" spans="1:28" s="57" customFormat="1" ht="11.25" customHeight="1">
      <c r="A62" s="967">
        <f>N75</f>
        <v>0</v>
      </c>
      <c r="B62" s="968"/>
      <c r="C62" s="968"/>
      <c r="D62" s="968"/>
      <c r="E62" s="969"/>
      <c r="F62" s="477">
        <f>N76</f>
        <v>0</v>
      </c>
      <c r="G62" s="493"/>
      <c r="H62" s="511">
        <f>N77</f>
        <v>0</v>
      </c>
      <c r="I62" s="512">
        <f t="shared" si="13"/>
        <v>209.1</v>
      </c>
      <c r="J62" s="510">
        <f t="shared" si="23"/>
        <v>0</v>
      </c>
      <c r="K62" s="508">
        <f>N78</f>
        <v>0</v>
      </c>
      <c r="L62" s="512">
        <f t="shared" si="24"/>
        <v>209.1</v>
      </c>
      <c r="M62" s="510">
        <f t="shared" si="25"/>
        <v>0</v>
      </c>
      <c r="N62" s="508">
        <f>N79</f>
        <v>0</v>
      </c>
      <c r="O62" s="512">
        <f t="shared" si="26"/>
        <v>209.1</v>
      </c>
      <c r="P62" s="510">
        <f t="shared" si="27"/>
        <v>0</v>
      </c>
      <c r="Q62" s="508">
        <f>N80</f>
        <v>0</v>
      </c>
      <c r="R62" s="512">
        <f t="shared" si="28"/>
        <v>209.1</v>
      </c>
      <c r="S62" s="510">
        <f t="shared" si="29"/>
        <v>0</v>
      </c>
      <c r="T62" s="508">
        <f>N81</f>
        <v>0</v>
      </c>
      <c r="U62" s="512">
        <f t="shared" si="30"/>
        <v>209.1</v>
      </c>
      <c r="V62" s="510">
        <f t="shared" si="31"/>
        <v>0</v>
      </c>
      <c r="W62" s="983">
        <f t="shared" si="32"/>
        <v>0</v>
      </c>
      <c r="X62" s="976"/>
      <c r="Z62" s="460"/>
      <c r="AA62" s="460"/>
      <c r="AB62" s="460"/>
    </row>
    <row r="63" spans="1:28" s="57" customFormat="1" ht="11.25" customHeight="1">
      <c r="A63" s="967">
        <f>O75</f>
        <v>0</v>
      </c>
      <c r="B63" s="968"/>
      <c r="C63" s="968"/>
      <c r="D63" s="968"/>
      <c r="E63" s="969"/>
      <c r="F63" s="477">
        <f>O76</f>
        <v>0</v>
      </c>
      <c r="G63" s="493"/>
      <c r="H63" s="511">
        <f>O77</f>
        <v>0</v>
      </c>
      <c r="I63" s="512">
        <v>50</v>
      </c>
      <c r="J63" s="510">
        <f t="shared" si="23"/>
        <v>0</v>
      </c>
      <c r="K63" s="508">
        <f>O78</f>
        <v>0</v>
      </c>
      <c r="L63" s="512">
        <f t="shared" si="24"/>
        <v>50</v>
      </c>
      <c r="M63" s="510">
        <f t="shared" si="25"/>
        <v>0</v>
      </c>
      <c r="N63" s="508">
        <f>O79</f>
        <v>0</v>
      </c>
      <c r="O63" s="512">
        <f t="shared" si="26"/>
        <v>50</v>
      </c>
      <c r="P63" s="510">
        <f t="shared" si="27"/>
        <v>0</v>
      </c>
      <c r="Q63" s="508">
        <f>O80</f>
        <v>0</v>
      </c>
      <c r="R63" s="512">
        <f t="shared" si="28"/>
        <v>50</v>
      </c>
      <c r="S63" s="510">
        <f t="shared" si="29"/>
        <v>0</v>
      </c>
      <c r="T63" s="508">
        <f>O81</f>
        <v>0</v>
      </c>
      <c r="U63" s="512">
        <f t="shared" si="30"/>
        <v>50</v>
      </c>
      <c r="V63" s="510">
        <f t="shared" si="31"/>
        <v>0</v>
      </c>
      <c r="W63" s="983">
        <f t="shared" si="32"/>
        <v>0</v>
      </c>
      <c r="X63" s="976"/>
      <c r="Z63" s="460"/>
      <c r="AA63" s="460"/>
      <c r="AB63" s="460"/>
    </row>
    <row r="64" spans="1:28" s="57" customFormat="1" ht="11.25" customHeight="1">
      <c r="A64" s="967">
        <f>P75</f>
        <v>0</v>
      </c>
      <c r="B64" s="968"/>
      <c r="C64" s="968"/>
      <c r="D64" s="968"/>
      <c r="E64" s="969"/>
      <c r="F64" s="477">
        <f>P76</f>
        <v>0</v>
      </c>
      <c r="G64" s="493"/>
      <c r="H64" s="511">
        <f>P77</f>
        <v>0</v>
      </c>
      <c r="I64" s="512">
        <v>60</v>
      </c>
      <c r="J64" s="510">
        <f t="shared" si="23"/>
        <v>0</v>
      </c>
      <c r="K64" s="508">
        <f>P78</f>
        <v>0</v>
      </c>
      <c r="L64" s="512">
        <f t="shared" si="24"/>
        <v>60</v>
      </c>
      <c r="M64" s="510">
        <f t="shared" si="25"/>
        <v>0</v>
      </c>
      <c r="N64" s="508">
        <f>P79</f>
        <v>0</v>
      </c>
      <c r="O64" s="512">
        <f t="shared" si="26"/>
        <v>60</v>
      </c>
      <c r="P64" s="510">
        <f t="shared" si="27"/>
        <v>0</v>
      </c>
      <c r="Q64" s="508">
        <f>P80</f>
        <v>0</v>
      </c>
      <c r="R64" s="512">
        <f t="shared" si="28"/>
        <v>60</v>
      </c>
      <c r="S64" s="510">
        <f t="shared" si="29"/>
        <v>0</v>
      </c>
      <c r="T64" s="508">
        <f>P81</f>
        <v>0</v>
      </c>
      <c r="U64" s="512">
        <f t="shared" si="30"/>
        <v>60</v>
      </c>
      <c r="V64" s="510">
        <f t="shared" si="31"/>
        <v>0</v>
      </c>
      <c r="W64" s="983">
        <f t="shared" si="32"/>
        <v>0</v>
      </c>
      <c r="X64" s="976"/>
      <c r="Z64" s="460"/>
      <c r="AA64" s="460"/>
      <c r="AB64" s="460"/>
    </row>
    <row r="65" spans="1:28" s="57" customFormat="1" ht="11.25" customHeight="1">
      <c r="A65" s="967">
        <f>Q75</f>
        <v>0</v>
      </c>
      <c r="B65" s="968"/>
      <c r="C65" s="968"/>
      <c r="D65" s="968"/>
      <c r="E65" s="969"/>
      <c r="F65" s="477">
        <f>Q76</f>
        <v>0</v>
      </c>
      <c r="G65" s="493"/>
      <c r="H65" s="511">
        <f>Q77</f>
        <v>0</v>
      </c>
      <c r="I65" s="512">
        <v>70</v>
      </c>
      <c r="J65" s="510">
        <f t="shared" si="23"/>
        <v>0</v>
      </c>
      <c r="K65" s="508">
        <f>Q78</f>
        <v>0</v>
      </c>
      <c r="L65" s="512">
        <f t="shared" si="24"/>
        <v>70</v>
      </c>
      <c r="M65" s="510">
        <f t="shared" si="25"/>
        <v>0</v>
      </c>
      <c r="N65" s="508">
        <f>Q79</f>
        <v>0</v>
      </c>
      <c r="O65" s="512">
        <f t="shared" si="26"/>
        <v>70</v>
      </c>
      <c r="P65" s="510">
        <f t="shared" si="27"/>
        <v>0</v>
      </c>
      <c r="Q65" s="508">
        <f>Q80</f>
        <v>0</v>
      </c>
      <c r="R65" s="512">
        <f t="shared" si="28"/>
        <v>70</v>
      </c>
      <c r="S65" s="510">
        <f t="shared" si="29"/>
        <v>0</v>
      </c>
      <c r="T65" s="508">
        <f>Q81</f>
        <v>0</v>
      </c>
      <c r="U65" s="512">
        <f t="shared" si="30"/>
        <v>70</v>
      </c>
      <c r="V65" s="510">
        <f t="shared" si="31"/>
        <v>0</v>
      </c>
      <c r="W65" s="983">
        <f t="shared" si="32"/>
        <v>0</v>
      </c>
      <c r="X65" s="976"/>
      <c r="Z65" s="460"/>
      <c r="AA65" s="460"/>
      <c r="AB65" s="460"/>
    </row>
    <row r="66" spans="1:28" s="57" customFormat="1" ht="11.25" customHeight="1">
      <c r="A66" s="967">
        <f>R75</f>
        <v>0</v>
      </c>
      <c r="B66" s="968"/>
      <c r="C66" s="968"/>
      <c r="D66" s="968"/>
      <c r="E66" s="969"/>
      <c r="F66" s="477">
        <f>R76</f>
        <v>0</v>
      </c>
      <c r="G66" s="493"/>
      <c r="H66" s="511">
        <f>R77</f>
        <v>0</v>
      </c>
      <c r="I66" s="512">
        <v>81.53</v>
      </c>
      <c r="J66" s="510">
        <f t="shared" si="23"/>
        <v>0</v>
      </c>
      <c r="K66" s="508">
        <f>R78</f>
        <v>0</v>
      </c>
      <c r="L66" s="512">
        <f t="shared" si="24"/>
        <v>81.53</v>
      </c>
      <c r="M66" s="510">
        <f t="shared" si="25"/>
        <v>0</v>
      </c>
      <c r="N66" s="508">
        <f>R79</f>
        <v>0</v>
      </c>
      <c r="O66" s="512">
        <f t="shared" si="26"/>
        <v>81.53</v>
      </c>
      <c r="P66" s="510">
        <f t="shared" si="27"/>
        <v>0</v>
      </c>
      <c r="Q66" s="508">
        <f>R80</f>
        <v>0</v>
      </c>
      <c r="R66" s="512">
        <f t="shared" si="28"/>
        <v>81.53</v>
      </c>
      <c r="S66" s="510">
        <f t="shared" si="29"/>
        <v>0</v>
      </c>
      <c r="T66" s="508">
        <f>R81</f>
        <v>0</v>
      </c>
      <c r="U66" s="512">
        <f t="shared" si="30"/>
        <v>81.53</v>
      </c>
      <c r="V66" s="510">
        <f t="shared" si="31"/>
        <v>0</v>
      </c>
      <c r="W66" s="983">
        <f t="shared" si="32"/>
        <v>0</v>
      </c>
      <c r="X66" s="976"/>
      <c r="Z66" s="460"/>
      <c r="AA66" s="460"/>
      <c r="AB66" s="460"/>
    </row>
    <row r="67" spans="1:28" s="57" customFormat="1" ht="11.25" customHeight="1">
      <c r="A67" s="967">
        <f>S75</f>
        <v>0</v>
      </c>
      <c r="B67" s="968"/>
      <c r="C67" s="968"/>
      <c r="D67" s="968"/>
      <c r="E67" s="969"/>
      <c r="F67" s="477">
        <f>S76</f>
        <v>0</v>
      </c>
      <c r="G67" s="493"/>
      <c r="H67" s="511">
        <f>S77</f>
        <v>0</v>
      </c>
      <c r="I67" s="512">
        <f t="shared" si="13"/>
        <v>1</v>
      </c>
      <c r="J67" s="510">
        <f t="shared" si="23"/>
        <v>0</v>
      </c>
      <c r="K67" s="508">
        <f>S78</f>
        <v>0</v>
      </c>
      <c r="L67" s="512">
        <f t="shared" si="24"/>
        <v>1</v>
      </c>
      <c r="M67" s="510">
        <f t="shared" si="25"/>
        <v>0</v>
      </c>
      <c r="N67" s="508">
        <f>S79</f>
        <v>0</v>
      </c>
      <c r="O67" s="512">
        <f t="shared" si="26"/>
        <v>1</v>
      </c>
      <c r="P67" s="510">
        <f t="shared" si="27"/>
        <v>0</v>
      </c>
      <c r="Q67" s="508">
        <f>S80</f>
        <v>0</v>
      </c>
      <c r="R67" s="512">
        <f t="shared" si="28"/>
        <v>1</v>
      </c>
      <c r="S67" s="510">
        <f t="shared" si="29"/>
        <v>0</v>
      </c>
      <c r="T67" s="508">
        <f>S81</f>
        <v>0</v>
      </c>
      <c r="U67" s="512">
        <f t="shared" si="30"/>
        <v>1</v>
      </c>
      <c r="V67" s="510">
        <f t="shared" si="31"/>
        <v>0</v>
      </c>
      <c r="W67" s="983">
        <f t="shared" si="32"/>
        <v>0</v>
      </c>
      <c r="X67" s="976"/>
      <c r="Z67" s="460"/>
      <c r="AA67" s="460"/>
      <c r="AB67" s="460"/>
    </row>
    <row r="68" spans="1:28" s="57" customFormat="1" ht="11.25" customHeight="1" thickBot="1">
      <c r="A68" s="978">
        <f>T75</f>
        <v>0</v>
      </c>
      <c r="B68" s="979"/>
      <c r="C68" s="979"/>
      <c r="D68" s="979"/>
      <c r="E68" s="980"/>
      <c r="F68" s="478">
        <f>T76</f>
        <v>0</v>
      </c>
      <c r="G68" s="494"/>
      <c r="H68" s="513">
        <f>T77</f>
        <v>0</v>
      </c>
      <c r="I68" s="514">
        <f t="shared" si="13"/>
        <v>1</v>
      </c>
      <c r="J68" s="515">
        <f t="shared" si="23"/>
        <v>0</v>
      </c>
      <c r="K68" s="516">
        <f>T78</f>
        <v>0</v>
      </c>
      <c r="L68" s="514">
        <f t="shared" si="24"/>
        <v>1</v>
      </c>
      <c r="M68" s="515">
        <f t="shared" si="25"/>
        <v>0</v>
      </c>
      <c r="N68" s="516">
        <f>T79</f>
        <v>0</v>
      </c>
      <c r="O68" s="514">
        <f t="shared" si="26"/>
        <v>1</v>
      </c>
      <c r="P68" s="515">
        <f t="shared" si="27"/>
        <v>0</v>
      </c>
      <c r="Q68" s="516">
        <f>T80</f>
        <v>0</v>
      </c>
      <c r="R68" s="514">
        <f t="shared" si="28"/>
        <v>1</v>
      </c>
      <c r="S68" s="515">
        <f t="shared" si="29"/>
        <v>0</v>
      </c>
      <c r="T68" s="516">
        <f>T81</f>
        <v>0</v>
      </c>
      <c r="U68" s="514">
        <f t="shared" si="30"/>
        <v>1</v>
      </c>
      <c r="V68" s="515">
        <f t="shared" si="31"/>
        <v>0</v>
      </c>
      <c r="W68" s="1091">
        <f t="shared" si="32"/>
        <v>0</v>
      </c>
      <c r="X68" s="1021"/>
      <c r="Z68" s="460"/>
      <c r="AA68" s="460"/>
      <c r="AB68" s="460"/>
    </row>
    <row r="69" spans="1:48" s="57" customFormat="1" ht="12" customHeight="1" thickTop="1">
      <c r="A69" s="1079" t="s">
        <v>2676</v>
      </c>
      <c r="B69" s="1080"/>
      <c r="C69" s="1080"/>
      <c r="D69" s="1080"/>
      <c r="E69" s="1080"/>
      <c r="F69" s="479"/>
      <c r="G69" s="479"/>
      <c r="H69" s="1087">
        <f>SUM(J51:J68)</f>
        <v>0</v>
      </c>
      <c r="I69" s="1088"/>
      <c r="J69" s="1089"/>
      <c r="K69" s="1087">
        <f>SUM(M51:M68)</f>
        <v>0</v>
      </c>
      <c r="L69" s="1088"/>
      <c r="M69" s="1089"/>
      <c r="N69" s="1087">
        <f>SUM(P51:P68)</f>
        <v>0</v>
      </c>
      <c r="O69" s="1088"/>
      <c r="P69" s="1089"/>
      <c r="Q69" s="1087">
        <f>SUM(S51:S68)</f>
        <v>0</v>
      </c>
      <c r="R69" s="1088"/>
      <c r="S69" s="1089"/>
      <c r="T69" s="1087">
        <f>SUM(V51:V68)</f>
        <v>0</v>
      </c>
      <c r="U69" s="1088"/>
      <c r="V69" s="1089"/>
      <c r="W69" s="1088">
        <f>SUM(W51:W68)</f>
        <v>0</v>
      </c>
      <c r="X69" s="1075"/>
      <c r="Y69" s="4"/>
      <c r="Z69" s="460"/>
      <c r="AA69" s="460"/>
      <c r="AB69" s="460"/>
      <c r="AC69" s="4"/>
      <c r="AD69" s="4"/>
      <c r="AE69" s="4"/>
      <c r="AF69" s="4"/>
      <c r="AG69" s="4"/>
      <c r="AH69" s="4"/>
      <c r="AI69" s="4"/>
      <c r="AJ69" s="4"/>
      <c r="AK69" s="4"/>
      <c r="AL69" s="4"/>
      <c r="AM69" s="4"/>
      <c r="AN69" s="4"/>
      <c r="AO69" s="4"/>
      <c r="AP69" s="4"/>
      <c r="AQ69" s="4"/>
      <c r="AR69" s="4"/>
      <c r="AS69" s="4"/>
      <c r="AT69" s="4"/>
      <c r="AU69" s="4"/>
      <c r="AV69" s="4"/>
    </row>
    <row r="70" spans="1:48" s="57" customFormat="1" ht="12" customHeight="1">
      <c r="A70" s="1058" t="s">
        <v>2802</v>
      </c>
      <c r="B70" s="1059"/>
      <c r="C70" s="1059"/>
      <c r="D70" s="1059"/>
      <c r="E70" s="1059"/>
      <c r="F70" s="480"/>
      <c r="G70" s="480"/>
      <c r="H70" s="1092">
        <f>IF(Input!D87,H69/Input!D98,0)</f>
        <v>0</v>
      </c>
      <c r="I70" s="1090"/>
      <c r="J70" s="1093"/>
      <c r="K70" s="1092">
        <f>IF(Input!G87,K69/Input!G98,0)</f>
        <v>0</v>
      </c>
      <c r="L70" s="1090"/>
      <c r="M70" s="1093"/>
      <c r="N70" s="1092">
        <f>IF(Input!J87,N69/Input!J98,0)</f>
        <v>0</v>
      </c>
      <c r="O70" s="1090"/>
      <c r="P70" s="1093"/>
      <c r="Q70" s="1092">
        <f>IF(Input!M87,Q69/Input!M98,0)</f>
        <v>0</v>
      </c>
      <c r="R70" s="1090"/>
      <c r="S70" s="1093"/>
      <c r="T70" s="1092">
        <f>IF(Input!P87,T69/Input!P98,0)</f>
        <v>0</v>
      </c>
      <c r="U70" s="1090"/>
      <c r="V70" s="1093"/>
      <c r="W70" s="1090">
        <f>IF(Input!D87,W69/SUM(Input!D98,Input!G98,Input!J98,Input!M98,Input!P98),0)</f>
        <v>0</v>
      </c>
      <c r="X70" s="981"/>
      <c r="Y70" s="4"/>
      <c r="Z70" s="460"/>
      <c r="AA70" s="460"/>
      <c r="AB70" s="460"/>
      <c r="AC70" s="4"/>
      <c r="AD70" s="4"/>
      <c r="AE70" s="4"/>
      <c r="AF70" s="4"/>
      <c r="AG70" s="4"/>
      <c r="AH70" s="4"/>
      <c r="AI70" s="4"/>
      <c r="AJ70" s="4"/>
      <c r="AK70" s="4"/>
      <c r="AL70" s="4"/>
      <c r="AM70" s="4"/>
      <c r="AN70" s="4"/>
      <c r="AO70" s="4"/>
      <c r="AP70" s="4"/>
      <c r="AQ70" s="4"/>
      <c r="AR70" s="4"/>
      <c r="AS70" s="4"/>
      <c r="AT70" s="4"/>
      <c r="AU70" s="4"/>
      <c r="AV70" s="4"/>
    </row>
    <row r="71" spans="25:48" s="6" customFormat="1" ht="12" customHeight="1">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24" s="6" customFormat="1" ht="12" customHeight="1">
      <c r="A72" s="1054" t="s">
        <v>92</v>
      </c>
      <c r="B72" s="1055"/>
      <c r="C72" s="1081" t="s">
        <v>2619</v>
      </c>
      <c r="D72" s="1082"/>
      <c r="E72" s="1082"/>
      <c r="F72" s="1082"/>
      <c r="G72" s="1082"/>
      <c r="H72" s="1082"/>
      <c r="I72" s="1082"/>
      <c r="J72" s="1082"/>
      <c r="K72" s="1082"/>
      <c r="L72" s="1082"/>
      <c r="M72" s="1082"/>
      <c r="N72" s="1082"/>
      <c r="O72" s="1082"/>
      <c r="P72" s="1082"/>
      <c r="Q72" s="1082"/>
      <c r="R72" s="1082"/>
      <c r="S72" s="1082"/>
      <c r="T72" s="1083"/>
      <c r="U72" s="463"/>
      <c r="V72" s="464"/>
      <c r="W72" s="464"/>
      <c r="X72" s="464"/>
    </row>
    <row r="73" spans="1:24" s="6" customFormat="1" ht="12" customHeight="1">
      <c r="A73" s="1056" t="str">
        <f>Input!F6</f>
        <v>8-163.00</v>
      </c>
      <c r="B73" s="1057"/>
      <c r="C73" s="1084"/>
      <c r="D73" s="1085"/>
      <c r="E73" s="1085"/>
      <c r="F73" s="1085"/>
      <c r="G73" s="1085"/>
      <c r="H73" s="1085"/>
      <c r="I73" s="1085"/>
      <c r="J73" s="1085"/>
      <c r="K73" s="1085"/>
      <c r="L73" s="1085"/>
      <c r="M73" s="1085"/>
      <c r="N73" s="1085"/>
      <c r="O73" s="1085"/>
      <c r="P73" s="1085"/>
      <c r="Q73" s="1085"/>
      <c r="R73" s="1085"/>
      <c r="S73" s="1085"/>
      <c r="T73" s="1086"/>
      <c r="U73" s="463"/>
      <c r="V73" s="464"/>
      <c r="W73" s="464"/>
      <c r="X73" s="464"/>
    </row>
    <row r="74" spans="1:24" s="6" customFormat="1" ht="12" customHeight="1">
      <c r="A74" s="1060" t="s">
        <v>2345</v>
      </c>
      <c r="B74" s="1060"/>
      <c r="C74" s="458">
        <f>Input!C108</f>
        <v>8100</v>
      </c>
      <c r="D74" s="458">
        <f>Input!D108</f>
        <v>8150</v>
      </c>
      <c r="E74" s="458">
        <f>Input!E108</f>
        <v>8001</v>
      </c>
      <c r="F74" s="458">
        <f>Input!F108</f>
        <v>8002</v>
      </c>
      <c r="G74" s="458">
        <f>Input!G108</f>
        <v>8003</v>
      </c>
      <c r="H74" s="458">
        <f>Input!H108</f>
        <v>2998</v>
      </c>
      <c r="I74" s="458">
        <f>Input!I108</f>
        <v>2403</v>
      </c>
      <c r="J74" s="458">
        <f>Input!J108</f>
        <v>8410</v>
      </c>
      <c r="K74" s="458">
        <f>Input!K108</f>
        <v>8104</v>
      </c>
      <c r="L74" s="458">
        <f>Input!L108</f>
        <v>2231</v>
      </c>
      <c r="M74" s="458">
        <f>Input!M108</f>
        <v>2355</v>
      </c>
      <c r="N74" s="458">
        <f>Input!N108</f>
        <v>8801</v>
      </c>
      <c r="O74" s="458" t="str">
        <f>Input!O108</f>
        <v>Code</v>
      </c>
      <c r="P74" s="458" t="str">
        <f>Input!P108</f>
        <v>Code</v>
      </c>
      <c r="Q74" s="458" t="str">
        <f>Input!Q108</f>
        <v>Code</v>
      </c>
      <c r="R74" s="458" t="str">
        <f>Input!R108</f>
        <v>Code</v>
      </c>
      <c r="S74" s="458" t="str">
        <f>Input!S108</f>
        <v>Code</v>
      </c>
      <c r="T74" s="458" t="str">
        <f>Input!T108</f>
        <v>Code</v>
      </c>
      <c r="U74" s="464"/>
      <c r="V74" s="464"/>
      <c r="W74" s="464"/>
      <c r="X74" s="464"/>
    </row>
    <row r="75" spans="1:20" ht="84" customHeight="1">
      <c r="A75" s="1052" t="s">
        <v>999</v>
      </c>
      <c r="B75" s="1053"/>
      <c r="C75" s="465">
        <f>IF(C82,Input!C109,0)</f>
        <v>0</v>
      </c>
      <c r="D75" s="465">
        <f>IF(D82,Input!D109,0)</f>
        <v>0</v>
      </c>
      <c r="E75" s="465">
        <f>IF(E82,Input!E109,0)</f>
        <v>0</v>
      </c>
      <c r="F75" s="465">
        <f>IF(F82,Input!F109,0)</f>
        <v>0</v>
      </c>
      <c r="G75" s="465">
        <f>IF(G82,Input!G109,0)</f>
        <v>0</v>
      </c>
      <c r="H75" s="465">
        <f>IF(H82,Input!H109,0)</f>
        <v>0</v>
      </c>
      <c r="I75" s="465">
        <f>IF(I82,Input!I109,0)</f>
        <v>0</v>
      </c>
      <c r="J75" s="465">
        <f>IF(J82,Input!J109,0)</f>
        <v>0</v>
      </c>
      <c r="K75" s="465">
        <f>IF(K82,Input!K109,0)</f>
        <v>0</v>
      </c>
      <c r="L75" s="465">
        <f>IF(L82,Input!L109,0)</f>
        <v>0</v>
      </c>
      <c r="M75" s="465">
        <f>IF(M82,Input!M109,0)</f>
        <v>0</v>
      </c>
      <c r="N75" s="465">
        <f>IF(N82,Input!N109,0)</f>
        <v>0</v>
      </c>
      <c r="O75" s="465">
        <f>IF(O82,Input!O109,0)</f>
        <v>0</v>
      </c>
      <c r="P75" s="465">
        <f>IF(P82,Input!P109,0)</f>
        <v>0</v>
      </c>
      <c r="Q75" s="465">
        <f>IF(Q82,Input!Q109,0)</f>
        <v>0</v>
      </c>
      <c r="R75" s="465">
        <f>IF(R82,Input!R109,0)</f>
        <v>0</v>
      </c>
      <c r="S75" s="465">
        <f>IF(S82,Input!S109,0)</f>
        <v>0</v>
      </c>
      <c r="T75" s="465">
        <f>IF(T82,Input!T109,0)</f>
        <v>0</v>
      </c>
    </row>
    <row r="76" spans="1:20" ht="12" customHeight="1" thickBot="1">
      <c r="A76" s="1050" t="s">
        <v>843</v>
      </c>
      <c r="B76" s="1051"/>
      <c r="C76" s="307">
        <f>IF(C82,Input!C110,0)</f>
        <v>0</v>
      </c>
      <c r="D76" s="307">
        <f>IF(D82,Input!D110,0)</f>
        <v>0</v>
      </c>
      <c r="E76" s="307">
        <f>IF(E82,Input!E110,0)</f>
        <v>0</v>
      </c>
      <c r="F76" s="307">
        <f>IF(F82,Input!F110,0)</f>
        <v>0</v>
      </c>
      <c r="G76" s="307">
        <f>IF(G82,Input!G110,0)</f>
        <v>0</v>
      </c>
      <c r="H76" s="307">
        <f>IF(H82,Input!H110,0)</f>
        <v>0</v>
      </c>
      <c r="I76" s="307">
        <f>IF(I82,Input!I110,0)</f>
        <v>0</v>
      </c>
      <c r="J76" s="307">
        <f>IF(J82,Input!J110,0)</f>
        <v>0</v>
      </c>
      <c r="K76" s="307">
        <f>IF(K82,Input!K110,0)</f>
        <v>0</v>
      </c>
      <c r="L76" s="307">
        <f>IF(L82,Input!L110,0)</f>
        <v>0</v>
      </c>
      <c r="M76" s="307">
        <f>IF(M82,Input!M110,0)</f>
        <v>0</v>
      </c>
      <c r="N76" s="307">
        <f>IF(N82,Input!N110,0)</f>
        <v>0</v>
      </c>
      <c r="O76" s="307">
        <f>IF(O82,Input!O110,0)</f>
        <v>0</v>
      </c>
      <c r="P76" s="307">
        <f>IF(P82,Input!P110,0)</f>
        <v>0</v>
      </c>
      <c r="Q76" s="307">
        <f>IF(Q82,Input!Q110,0)</f>
        <v>0</v>
      </c>
      <c r="R76" s="307">
        <f>IF(R82,Input!R110,0)</f>
        <v>0</v>
      </c>
      <c r="S76" s="307">
        <f>IF(S82,Input!S110,0)</f>
        <v>0</v>
      </c>
      <c r="T76" s="307">
        <f>IF(T82,Input!T110,0)</f>
        <v>0</v>
      </c>
    </row>
    <row r="77" spans="1:20" s="217" customFormat="1" ht="12" customHeight="1" thickTop="1">
      <c r="A77" s="1048" t="s">
        <v>93</v>
      </c>
      <c r="B77" s="466">
        <f>IF(Input!D87&gt;0,Input!D87,0)</f>
        <v>0</v>
      </c>
      <c r="C77" s="467">
        <f>Input!C111</f>
        <v>0</v>
      </c>
      <c r="D77" s="467">
        <f>Input!D111</f>
        <v>0</v>
      </c>
      <c r="E77" s="467">
        <f>Input!E111</f>
        <v>0</v>
      </c>
      <c r="F77" s="467">
        <f>Input!F111</f>
        <v>0</v>
      </c>
      <c r="G77" s="467">
        <f>Input!G111</f>
        <v>0</v>
      </c>
      <c r="H77" s="467">
        <f>Input!H111</f>
        <v>0</v>
      </c>
      <c r="I77" s="467">
        <f>Input!I111</f>
        <v>0</v>
      </c>
      <c r="J77" s="467">
        <f>Input!J111</f>
        <v>0</v>
      </c>
      <c r="K77" s="467">
        <f>Input!K111</f>
        <v>0</v>
      </c>
      <c r="L77" s="467">
        <f>Input!L111</f>
        <v>0</v>
      </c>
      <c r="M77" s="467">
        <f>Input!M111</f>
        <v>0</v>
      </c>
      <c r="N77" s="467">
        <f>Input!N111</f>
        <v>0</v>
      </c>
      <c r="O77" s="467">
        <f>Input!O111</f>
        <v>0</v>
      </c>
      <c r="P77" s="467">
        <f>Input!P111</f>
        <v>0</v>
      </c>
      <c r="Q77" s="467">
        <f>Input!Q111</f>
        <v>0</v>
      </c>
      <c r="R77" s="467">
        <f>Input!R111</f>
        <v>0</v>
      </c>
      <c r="S77" s="467">
        <f>Input!S111</f>
        <v>0</v>
      </c>
      <c r="T77" s="467">
        <f>Input!T111</f>
        <v>0</v>
      </c>
    </row>
    <row r="78" spans="1:20" s="217" customFormat="1" ht="12" customHeight="1">
      <c r="A78" s="1048"/>
      <c r="B78" s="458">
        <f>IF(Input!G87&gt;0,Input!G87,0)</f>
        <v>0</v>
      </c>
      <c r="C78" s="467">
        <f>Input!C112</f>
        <v>0</v>
      </c>
      <c r="D78" s="467">
        <f>Input!D112</f>
        <v>0</v>
      </c>
      <c r="E78" s="467">
        <f>Input!E112</f>
        <v>0</v>
      </c>
      <c r="F78" s="467">
        <f>Input!F112</f>
        <v>0</v>
      </c>
      <c r="G78" s="467">
        <f>Input!G112</f>
        <v>0</v>
      </c>
      <c r="H78" s="467">
        <f>Input!H112</f>
        <v>0</v>
      </c>
      <c r="I78" s="467">
        <f>Input!I112</f>
        <v>0</v>
      </c>
      <c r="J78" s="467">
        <f>Input!J112</f>
        <v>0</v>
      </c>
      <c r="K78" s="467">
        <f>Input!K112</f>
        <v>0</v>
      </c>
      <c r="L78" s="467">
        <f>Input!L112</f>
        <v>0</v>
      </c>
      <c r="M78" s="467">
        <f>Input!M112</f>
        <v>0</v>
      </c>
      <c r="N78" s="467">
        <f>Input!N112</f>
        <v>0</v>
      </c>
      <c r="O78" s="467">
        <f>Input!O112</f>
        <v>0</v>
      </c>
      <c r="P78" s="467">
        <f>Input!P112</f>
        <v>0</v>
      </c>
      <c r="Q78" s="467">
        <f>Input!Q112</f>
        <v>0</v>
      </c>
      <c r="R78" s="467">
        <f>Input!R112</f>
        <v>0</v>
      </c>
      <c r="S78" s="467">
        <f>Input!S112</f>
        <v>0</v>
      </c>
      <c r="T78" s="467">
        <f>Input!T112</f>
        <v>0</v>
      </c>
    </row>
    <row r="79" spans="1:20" s="217" customFormat="1" ht="12" customHeight="1">
      <c r="A79" s="1048"/>
      <c r="B79" s="458">
        <f>IF(Input!J87&gt;0,Input!J87,0)</f>
        <v>0</v>
      </c>
      <c r="C79" s="467">
        <f>Input!C113</f>
        <v>0</v>
      </c>
      <c r="D79" s="467">
        <f>Input!D113</f>
        <v>0</v>
      </c>
      <c r="E79" s="467">
        <f>Input!E113</f>
        <v>0</v>
      </c>
      <c r="F79" s="467">
        <f>Input!F113</f>
        <v>0</v>
      </c>
      <c r="G79" s="467">
        <f>Input!G113</f>
        <v>0</v>
      </c>
      <c r="H79" s="467">
        <f>Input!H113</f>
        <v>0</v>
      </c>
      <c r="I79" s="467">
        <f>Input!I113</f>
        <v>0</v>
      </c>
      <c r="J79" s="467">
        <f>Input!J113</f>
        <v>0</v>
      </c>
      <c r="K79" s="467">
        <f>Input!K113</f>
        <v>0</v>
      </c>
      <c r="L79" s="467">
        <f>Input!L113</f>
        <v>0</v>
      </c>
      <c r="M79" s="467">
        <f>Input!M113</f>
        <v>0</v>
      </c>
      <c r="N79" s="467">
        <f>Input!N113</f>
        <v>0</v>
      </c>
      <c r="O79" s="467">
        <f>Input!O113</f>
        <v>0</v>
      </c>
      <c r="P79" s="467">
        <f>Input!P113</f>
        <v>0</v>
      </c>
      <c r="Q79" s="467">
        <f>Input!Q113</f>
        <v>0</v>
      </c>
      <c r="R79" s="467">
        <f>Input!R113</f>
        <v>0</v>
      </c>
      <c r="S79" s="467">
        <f>Input!S113</f>
        <v>0</v>
      </c>
      <c r="T79" s="467">
        <f>Input!T113</f>
        <v>0</v>
      </c>
    </row>
    <row r="80" spans="1:20" s="217" customFormat="1" ht="12" customHeight="1">
      <c r="A80" s="1048"/>
      <c r="B80" s="458">
        <f>IF(Input!M87&gt;0,Input!M87,0)</f>
        <v>0</v>
      </c>
      <c r="C80" s="467">
        <f>Input!C114</f>
        <v>0</v>
      </c>
      <c r="D80" s="467">
        <f>Input!D114</f>
        <v>0</v>
      </c>
      <c r="E80" s="467">
        <f>Input!E114</f>
        <v>0</v>
      </c>
      <c r="F80" s="467">
        <f>Input!F114</f>
        <v>0</v>
      </c>
      <c r="G80" s="467">
        <f>Input!G114</f>
        <v>0</v>
      </c>
      <c r="H80" s="467">
        <f>Input!H114</f>
        <v>0</v>
      </c>
      <c r="I80" s="467">
        <f>Input!I114</f>
        <v>0</v>
      </c>
      <c r="J80" s="467">
        <f>Input!J114</f>
        <v>0</v>
      </c>
      <c r="K80" s="467">
        <f>Input!K114</f>
        <v>0</v>
      </c>
      <c r="L80" s="467">
        <f>Input!L114</f>
        <v>0</v>
      </c>
      <c r="M80" s="467">
        <f>Input!M114</f>
        <v>0</v>
      </c>
      <c r="N80" s="467">
        <f>Input!N114</f>
        <v>0</v>
      </c>
      <c r="O80" s="467">
        <f>Input!O114</f>
        <v>0</v>
      </c>
      <c r="P80" s="467">
        <f>Input!P114</f>
        <v>0</v>
      </c>
      <c r="Q80" s="467">
        <f>Input!Q114</f>
        <v>0</v>
      </c>
      <c r="R80" s="467">
        <f>Input!R114</f>
        <v>0</v>
      </c>
      <c r="S80" s="467">
        <f>Input!S114</f>
        <v>0</v>
      </c>
      <c r="T80" s="467">
        <f>Input!T114</f>
        <v>0</v>
      </c>
    </row>
    <row r="81" spans="1:20" s="217" customFormat="1" ht="12" customHeight="1" thickBot="1">
      <c r="A81" s="1049"/>
      <c r="B81" s="307">
        <f>IF(Input!P87,Input!P87,0)</f>
        <v>0</v>
      </c>
      <c r="C81" s="467">
        <f>Input!C115</f>
        <v>0</v>
      </c>
      <c r="D81" s="467">
        <f>Input!D115</f>
        <v>0</v>
      </c>
      <c r="E81" s="467">
        <f>Input!E115</f>
        <v>0</v>
      </c>
      <c r="F81" s="467">
        <f>Input!F115</f>
        <v>0</v>
      </c>
      <c r="G81" s="467">
        <f>Input!G115</f>
        <v>0</v>
      </c>
      <c r="H81" s="467">
        <f>Input!H115</f>
        <v>0</v>
      </c>
      <c r="I81" s="467">
        <f>Input!I115</f>
        <v>0</v>
      </c>
      <c r="J81" s="467">
        <f>Input!J115</f>
        <v>0</v>
      </c>
      <c r="K81" s="467">
        <f>Input!K115</f>
        <v>0</v>
      </c>
      <c r="L81" s="467">
        <f>Input!L115</f>
        <v>0</v>
      </c>
      <c r="M81" s="467">
        <f>Input!M115</f>
        <v>0</v>
      </c>
      <c r="N81" s="467">
        <f>Input!N115</f>
        <v>0</v>
      </c>
      <c r="O81" s="467">
        <f>Input!O115</f>
        <v>0</v>
      </c>
      <c r="P81" s="467">
        <f>Input!P115</f>
        <v>0</v>
      </c>
      <c r="Q81" s="467">
        <f>Input!Q115</f>
        <v>0</v>
      </c>
      <c r="R81" s="467">
        <f>Input!R115</f>
        <v>0</v>
      </c>
      <c r="S81" s="467">
        <f>Input!S115</f>
        <v>0</v>
      </c>
      <c r="T81" s="467">
        <f>Input!T115</f>
        <v>0</v>
      </c>
    </row>
    <row r="82" spans="1:20" s="217" customFormat="1" ht="25.5" customHeight="1" thickTop="1">
      <c r="A82" s="1046" t="s">
        <v>1734</v>
      </c>
      <c r="B82" s="1047"/>
      <c r="C82" s="468">
        <f aca="true" t="shared" si="33" ref="C82:K82">SUM(C77:C81)</f>
        <v>0</v>
      </c>
      <c r="D82" s="468">
        <f t="shared" si="33"/>
        <v>0</v>
      </c>
      <c r="E82" s="468">
        <f t="shared" si="33"/>
        <v>0</v>
      </c>
      <c r="F82" s="468">
        <f t="shared" si="33"/>
        <v>0</v>
      </c>
      <c r="G82" s="469">
        <f t="shared" si="33"/>
        <v>0</v>
      </c>
      <c r="H82" s="468">
        <f t="shared" si="33"/>
        <v>0</v>
      </c>
      <c r="I82" s="468">
        <f t="shared" si="33"/>
        <v>0</v>
      </c>
      <c r="J82" s="468">
        <f t="shared" si="33"/>
        <v>0</v>
      </c>
      <c r="K82" s="468">
        <f t="shared" si="33"/>
        <v>0</v>
      </c>
      <c r="L82" s="468">
        <f aca="true" t="shared" si="34" ref="L82:R82">SUM(L77:L81)</f>
        <v>0</v>
      </c>
      <c r="M82" s="468">
        <f t="shared" si="34"/>
        <v>0</v>
      </c>
      <c r="N82" s="468">
        <f t="shared" si="34"/>
        <v>0</v>
      </c>
      <c r="O82" s="468">
        <f t="shared" si="34"/>
        <v>0</v>
      </c>
      <c r="P82" s="468">
        <f t="shared" si="34"/>
        <v>0</v>
      </c>
      <c r="Q82" s="468">
        <f t="shared" si="34"/>
        <v>0</v>
      </c>
      <c r="R82" s="468">
        <f t="shared" si="34"/>
        <v>0</v>
      </c>
      <c r="S82" s="468">
        <f>SUM(S77:S81)</f>
        <v>0</v>
      </c>
      <c r="T82" s="468">
        <f>SUM(T77:T81)</f>
        <v>0</v>
      </c>
    </row>
    <row r="83" spans="1:25" ht="12" customHeight="1">
      <c r="A83" s="4"/>
      <c r="B83" s="4"/>
      <c r="C83" s="4"/>
      <c r="D83" s="4"/>
      <c r="J83" s="4"/>
      <c r="K83" s="4"/>
      <c r="L83" s="4"/>
      <c r="X83" s="4"/>
      <c r="Y83" s="4"/>
    </row>
    <row r="84" spans="1:25" ht="12" customHeight="1">
      <c r="A84" s="4"/>
      <c r="B84" s="4"/>
      <c r="C84" s="4"/>
      <c r="D84" s="4"/>
      <c r="J84" s="4"/>
      <c r="K84" s="4"/>
      <c r="L84" s="4"/>
      <c r="X84" s="4"/>
      <c r="Y84" s="4"/>
    </row>
    <row r="85" spans="1:25" ht="12" customHeight="1">
      <c r="A85" s="4"/>
      <c r="B85" s="4"/>
      <c r="C85" s="4"/>
      <c r="D85" s="4"/>
      <c r="J85" s="4"/>
      <c r="K85" s="4"/>
      <c r="L85" s="4"/>
      <c r="X85" s="4"/>
      <c r="Y85" s="4"/>
    </row>
    <row r="86" spans="1:25" ht="12" customHeight="1">
      <c r="A86" s="4"/>
      <c r="B86" s="4"/>
      <c r="C86" s="4"/>
      <c r="D86" s="4"/>
      <c r="J86" s="4"/>
      <c r="K86" s="4"/>
      <c r="L86" s="4"/>
      <c r="X86" s="4"/>
      <c r="Y86" s="4"/>
    </row>
    <row r="87" spans="1:25" ht="12" customHeight="1">
      <c r="A87" s="4"/>
      <c r="B87" s="4"/>
      <c r="C87" s="4"/>
      <c r="D87" s="4"/>
      <c r="J87" s="4"/>
      <c r="K87" s="4"/>
      <c r="L87" s="4"/>
      <c r="X87" s="4"/>
      <c r="Y87" s="4"/>
    </row>
    <row r="88" spans="1:25" ht="12" customHeight="1">
      <c r="A88" s="4"/>
      <c r="B88" s="4"/>
      <c r="C88" s="4"/>
      <c r="D88" s="4"/>
      <c r="J88" s="4"/>
      <c r="K88" s="4"/>
      <c r="L88" s="4"/>
      <c r="X88" s="4"/>
      <c r="Y88" s="4"/>
    </row>
    <row r="89" spans="1:25" ht="12" customHeight="1">
      <c r="A89" s="4"/>
      <c r="B89" s="4"/>
      <c r="C89" s="4"/>
      <c r="D89" s="4"/>
      <c r="J89" s="4"/>
      <c r="K89" s="4"/>
      <c r="L89" s="4"/>
      <c r="X89" s="4"/>
      <c r="Y89" s="4"/>
    </row>
    <row r="90" spans="1:25" ht="12" customHeight="1">
      <c r="A90" s="4"/>
      <c r="B90" s="4"/>
      <c r="C90" s="4"/>
      <c r="D90" s="4"/>
      <c r="J90" s="4"/>
      <c r="K90" s="4"/>
      <c r="L90" s="4"/>
      <c r="X90" s="4"/>
      <c r="Y90" s="4"/>
    </row>
    <row r="91" spans="1:25" ht="12" customHeight="1">
      <c r="A91" s="4"/>
      <c r="B91" s="4"/>
      <c r="C91" s="4"/>
      <c r="D91" s="4"/>
      <c r="E91" s="4"/>
      <c r="F91" s="4"/>
      <c r="G91" s="4"/>
      <c r="H91" s="4"/>
      <c r="I91" s="4"/>
      <c r="J91" s="4"/>
      <c r="K91" s="4"/>
      <c r="L91" s="4"/>
      <c r="X91" s="4"/>
      <c r="Y91" s="4"/>
    </row>
    <row r="92" spans="1:25" ht="12" customHeight="1">
      <c r="A92" s="4"/>
      <c r="B92" s="4"/>
      <c r="C92" s="4"/>
      <c r="D92" s="4"/>
      <c r="E92" s="4"/>
      <c r="F92" s="4"/>
      <c r="G92" s="4"/>
      <c r="H92" s="4"/>
      <c r="I92" s="4"/>
      <c r="J92" s="4"/>
      <c r="K92" s="4"/>
      <c r="L92" s="4"/>
      <c r="M92" s="4"/>
      <c r="N92" s="4"/>
      <c r="O92" s="4"/>
      <c r="P92" s="4"/>
      <c r="Q92" s="4"/>
      <c r="R92" s="4"/>
      <c r="S92" s="4"/>
      <c r="T92" s="4"/>
      <c r="U92" s="4"/>
      <c r="V92" s="4"/>
      <c r="W92" s="4"/>
      <c r="X92" s="4"/>
      <c r="Y92" s="4"/>
    </row>
    <row r="93" spans="1:25" ht="12" customHeight="1">
      <c r="A93" s="4"/>
      <c r="B93" s="4"/>
      <c r="C93" s="4"/>
      <c r="D93" s="4"/>
      <c r="E93" s="4"/>
      <c r="F93" s="4"/>
      <c r="G93" s="4"/>
      <c r="H93" s="4"/>
      <c r="I93" s="4"/>
      <c r="J93" s="4"/>
      <c r="K93" s="4"/>
      <c r="L93" s="4"/>
      <c r="M93" s="4"/>
      <c r="N93" s="4"/>
      <c r="O93" s="4"/>
      <c r="P93" s="4"/>
      <c r="Q93" s="4"/>
      <c r="R93" s="4"/>
      <c r="S93" s="4"/>
      <c r="T93" s="4"/>
      <c r="U93" s="4"/>
      <c r="V93" s="4"/>
      <c r="W93" s="4"/>
      <c r="X93" s="4"/>
      <c r="Y93" s="4"/>
    </row>
    <row r="94" spans="1:25" ht="12" customHeight="1">
      <c r="A94" s="4"/>
      <c r="B94" s="4"/>
      <c r="C94" s="4"/>
      <c r="D94" s="4"/>
      <c r="E94" s="4"/>
      <c r="F94" s="4"/>
      <c r="G94" s="4"/>
      <c r="H94" s="4"/>
      <c r="I94" s="4"/>
      <c r="J94" s="4"/>
      <c r="K94" s="4"/>
      <c r="L94" s="4"/>
      <c r="M94" s="4"/>
      <c r="N94" s="4"/>
      <c r="O94" s="4"/>
      <c r="P94" s="4"/>
      <c r="Q94" s="4"/>
      <c r="R94" s="4"/>
      <c r="S94" s="4"/>
      <c r="T94" s="4"/>
      <c r="U94" s="4"/>
      <c r="V94" s="4"/>
      <c r="W94" s="4"/>
      <c r="X94" s="4"/>
      <c r="Y94" s="4"/>
    </row>
    <row r="95" spans="1:25" ht="12" customHeight="1">
      <c r="A95" s="4"/>
      <c r="B95" s="4"/>
      <c r="C95" s="4"/>
      <c r="D95" s="4"/>
      <c r="E95" s="4"/>
      <c r="F95" s="4"/>
      <c r="G95" s="4"/>
      <c r="H95" s="4"/>
      <c r="I95" s="4"/>
      <c r="J95" s="4"/>
      <c r="K95" s="4"/>
      <c r="L95" s="4"/>
      <c r="M95" s="4"/>
      <c r="N95" s="4"/>
      <c r="O95" s="4"/>
      <c r="P95" s="4"/>
      <c r="Q95" s="4"/>
      <c r="R95" s="4"/>
      <c r="S95" s="4"/>
      <c r="T95" s="4"/>
      <c r="U95" s="4"/>
      <c r="V95" s="4"/>
      <c r="W95" s="4"/>
      <c r="X95" s="4"/>
      <c r="Y95" s="4"/>
    </row>
    <row r="96" spans="1:25" ht="12" customHeight="1">
      <c r="A96" s="4"/>
      <c r="B96" s="4"/>
      <c r="C96" s="4"/>
      <c r="D96" s="4"/>
      <c r="E96" s="4"/>
      <c r="F96" s="4"/>
      <c r="G96" s="4"/>
      <c r="H96" s="4"/>
      <c r="I96" s="4"/>
      <c r="J96" s="4"/>
      <c r="K96" s="4"/>
      <c r="L96" s="4"/>
      <c r="M96" s="4"/>
      <c r="N96" s="4"/>
      <c r="O96" s="4"/>
      <c r="P96" s="4"/>
      <c r="Q96" s="4"/>
      <c r="R96" s="4"/>
      <c r="S96" s="4"/>
      <c r="T96" s="4"/>
      <c r="U96" s="4"/>
      <c r="V96" s="4"/>
      <c r="W96" s="4"/>
      <c r="X96" s="4"/>
      <c r="Y96" s="4"/>
    </row>
    <row r="97" spans="1:25" ht="12" customHeight="1">
      <c r="A97" s="4"/>
      <c r="B97" s="4"/>
      <c r="C97" s="4"/>
      <c r="D97" s="4"/>
      <c r="E97" s="4"/>
      <c r="F97" s="4"/>
      <c r="G97" s="4"/>
      <c r="H97" s="4"/>
      <c r="I97" s="4"/>
      <c r="J97" s="4"/>
      <c r="K97" s="4"/>
      <c r="L97" s="4"/>
      <c r="M97" s="4"/>
      <c r="N97" s="4"/>
      <c r="O97" s="4"/>
      <c r="P97" s="4"/>
      <c r="Q97" s="4"/>
      <c r="R97" s="4"/>
      <c r="S97" s="4"/>
      <c r="T97" s="4"/>
      <c r="U97" s="4"/>
      <c r="V97" s="4"/>
      <c r="W97" s="4"/>
      <c r="X97" s="4"/>
      <c r="Y97" s="4"/>
    </row>
    <row r="98" spans="1:25" ht="12" customHeight="1">
      <c r="A98" s="4"/>
      <c r="B98" s="4"/>
      <c r="C98" s="4"/>
      <c r="D98" s="4"/>
      <c r="E98" s="4"/>
      <c r="F98" s="4"/>
      <c r="G98" s="4"/>
      <c r="H98" s="4"/>
      <c r="I98" s="4"/>
      <c r="J98" s="4"/>
      <c r="K98" s="4"/>
      <c r="L98" s="4"/>
      <c r="M98" s="4"/>
      <c r="N98" s="4"/>
      <c r="O98" s="4"/>
      <c r="P98" s="4"/>
      <c r="Q98" s="4"/>
      <c r="R98" s="4"/>
      <c r="S98" s="4"/>
      <c r="T98" s="4"/>
      <c r="U98" s="4"/>
      <c r="V98" s="4"/>
      <c r="W98" s="4"/>
      <c r="X98" s="4"/>
      <c r="Y98" s="4"/>
    </row>
    <row r="99" spans="1:25" ht="12" customHeight="1">
      <c r="A99" s="4"/>
      <c r="B99" s="4"/>
      <c r="C99" s="4"/>
      <c r="D99" s="4"/>
      <c r="E99" s="4"/>
      <c r="F99" s="4"/>
      <c r="G99" s="4"/>
      <c r="H99" s="4"/>
      <c r="I99" s="4"/>
      <c r="J99" s="4"/>
      <c r="K99" s="4"/>
      <c r="L99" s="4"/>
      <c r="M99" s="4"/>
      <c r="N99" s="4"/>
      <c r="O99" s="4"/>
      <c r="P99" s="4"/>
      <c r="Q99" s="4"/>
      <c r="R99" s="4"/>
      <c r="S99" s="4"/>
      <c r="T99" s="4"/>
      <c r="U99" s="4"/>
      <c r="V99" s="4"/>
      <c r="W99" s="4"/>
      <c r="X99" s="4"/>
      <c r="Y99" s="4"/>
    </row>
    <row r="100" spans="1:2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7"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26:27" ht="12.75">
      <c r="Z271" s="4"/>
      <c r="AA271" s="4"/>
    </row>
    <row r="272" spans="26:27" ht="12.75">
      <c r="Z272" s="4"/>
      <c r="AA272" s="4"/>
    </row>
    <row r="273" spans="26:27" ht="12.75">
      <c r="Z273" s="4"/>
      <c r="AA273" s="4"/>
    </row>
    <row r="274" spans="26:27" ht="12.75">
      <c r="Z274" s="4"/>
      <c r="AA274" s="4"/>
    </row>
    <row r="275" spans="26:27" ht="12.75">
      <c r="Z275" s="4"/>
      <c r="AA275" s="4"/>
    </row>
    <row r="276" spans="26:27" ht="12.75">
      <c r="Z276" s="4"/>
      <c r="AA276" s="4"/>
    </row>
    <row r="277" spans="26:27" ht="12.75">
      <c r="Z277" s="4"/>
      <c r="AA277" s="4"/>
    </row>
    <row r="278" spans="26:27" ht="12.75">
      <c r="Z278" s="4"/>
      <c r="AA278" s="4"/>
    </row>
    <row r="279" spans="26:27" ht="12.75">
      <c r="Z279" s="4"/>
      <c r="AA279" s="4"/>
    </row>
    <row r="280" spans="26:27" ht="12.75">
      <c r="Z280" s="4"/>
      <c r="AA280" s="4"/>
    </row>
    <row r="281" spans="26:27" ht="12.75">
      <c r="Z281" s="4"/>
      <c r="AA281" s="4"/>
    </row>
    <row r="282" spans="26:27" ht="12.75">
      <c r="Z282" s="4"/>
      <c r="AA282" s="4"/>
    </row>
    <row r="283" spans="26:27" ht="12.75">
      <c r="Z283" s="4"/>
      <c r="AA283" s="4"/>
    </row>
    <row r="284" spans="26:27" ht="12.75">
      <c r="Z284" s="4"/>
      <c r="AA284" s="4"/>
    </row>
    <row r="285" spans="26:27" ht="12.75">
      <c r="Z285" s="4"/>
      <c r="AA285" s="4"/>
    </row>
    <row r="286" spans="26:27" ht="12.75">
      <c r="Z286" s="4"/>
      <c r="AA286" s="4"/>
    </row>
    <row r="287" spans="26:27" ht="12.75">
      <c r="Z287" s="4"/>
      <c r="AA287" s="4"/>
    </row>
    <row r="288" spans="26:27" ht="12.75">
      <c r="Z288" s="4"/>
      <c r="AA288" s="4"/>
    </row>
    <row r="289" spans="26:27" ht="12.75">
      <c r="Z289" s="4"/>
      <c r="AA289" s="4"/>
    </row>
    <row r="290" spans="26:27" ht="12.75">
      <c r="Z290" s="4"/>
      <c r="AA290" s="4"/>
    </row>
    <row r="291" spans="26:27" ht="12.75">
      <c r="Z291" s="4"/>
      <c r="AA291" s="4"/>
    </row>
    <row r="292" spans="26:27" ht="12.75">
      <c r="Z292" s="4"/>
      <c r="AA292" s="4"/>
    </row>
    <row r="293" spans="26:27" ht="12.75">
      <c r="Z293" s="4"/>
      <c r="AA293" s="4"/>
    </row>
    <row r="294" spans="26:27" ht="12.75">
      <c r="Z294" s="4"/>
      <c r="AA294" s="4"/>
    </row>
    <row r="295" spans="26:27" ht="12.75">
      <c r="Z295" s="4"/>
      <c r="AA295" s="4"/>
    </row>
    <row r="296" spans="26:27" ht="12.75">
      <c r="Z296" s="4"/>
      <c r="AA296" s="4"/>
    </row>
    <row r="297" spans="26:27" ht="12.75">
      <c r="Z297" s="4"/>
      <c r="AA297" s="4"/>
    </row>
  </sheetData>
  <sheetProtection password="CBEB" sheet="1" objects="1" scenarios="1"/>
  <mergeCells count="328">
    <mergeCell ref="K69:M69"/>
    <mergeCell ref="K70:M70"/>
    <mergeCell ref="K46:M46"/>
    <mergeCell ref="N69:P69"/>
    <mergeCell ref="W67:X67"/>
    <mergeCell ref="Q70:S70"/>
    <mergeCell ref="W56:X56"/>
    <mergeCell ref="N49:P49"/>
    <mergeCell ref="Q69:S69"/>
    <mergeCell ref="W54:X54"/>
    <mergeCell ref="I28:J28"/>
    <mergeCell ref="H70:J70"/>
    <mergeCell ref="W55:X55"/>
    <mergeCell ref="W53:X53"/>
    <mergeCell ref="W69:X69"/>
    <mergeCell ref="T70:V70"/>
    <mergeCell ref="L28:M28"/>
    <mergeCell ref="N70:P70"/>
    <mergeCell ref="T69:V69"/>
    <mergeCell ref="T49:V49"/>
    <mergeCell ref="H12:J12"/>
    <mergeCell ref="K45:M45"/>
    <mergeCell ref="K20:M20"/>
    <mergeCell ref="K21:M21"/>
    <mergeCell ref="H18:J18"/>
    <mergeCell ref="H49:J49"/>
    <mergeCell ref="K22:M22"/>
    <mergeCell ref="K25:M25"/>
    <mergeCell ref="L27:M27"/>
    <mergeCell ref="H20:J20"/>
    <mergeCell ref="H21:J21"/>
    <mergeCell ref="L29:M29"/>
    <mergeCell ref="A54:E54"/>
    <mergeCell ref="H45:J45"/>
    <mergeCell ref="I38:J38"/>
    <mergeCell ref="K49:M49"/>
    <mergeCell ref="I32:J32"/>
    <mergeCell ref="H22:J22"/>
    <mergeCell ref="A22:F22"/>
    <mergeCell ref="A21:F21"/>
    <mergeCell ref="I33:J33"/>
    <mergeCell ref="A60:E60"/>
    <mergeCell ref="C72:T73"/>
    <mergeCell ref="H48:X48"/>
    <mergeCell ref="L31:M31"/>
    <mergeCell ref="O31:P31"/>
    <mergeCell ref="O32:P32"/>
    <mergeCell ref="H69:J69"/>
    <mergeCell ref="W70:X70"/>
    <mergeCell ref="W68:X68"/>
    <mergeCell ref="A45:E45"/>
    <mergeCell ref="A46:E46"/>
    <mergeCell ref="A49:E50"/>
    <mergeCell ref="F49:F50"/>
    <mergeCell ref="A59:E59"/>
    <mergeCell ref="A55:E55"/>
    <mergeCell ref="A69:E69"/>
    <mergeCell ref="A58:E58"/>
    <mergeCell ref="A56:E56"/>
    <mergeCell ref="A57:E57"/>
    <mergeCell ref="A67:E67"/>
    <mergeCell ref="A68:E68"/>
    <mergeCell ref="A61:E61"/>
    <mergeCell ref="A65:E65"/>
    <mergeCell ref="A62:E62"/>
    <mergeCell ref="W57:X57"/>
    <mergeCell ref="W58:X58"/>
    <mergeCell ref="W64:X64"/>
    <mergeCell ref="W65:X65"/>
    <mergeCell ref="W63:X63"/>
    <mergeCell ref="A66:E66"/>
    <mergeCell ref="W60:X60"/>
    <mergeCell ref="W61:X61"/>
    <mergeCell ref="W62:X62"/>
    <mergeCell ref="W66:X66"/>
    <mergeCell ref="N46:P46"/>
    <mergeCell ref="Q45:S45"/>
    <mergeCell ref="Q46:S46"/>
    <mergeCell ref="T45:V45"/>
    <mergeCell ref="W45:X45"/>
    <mergeCell ref="A64:E64"/>
    <mergeCell ref="W52:X52"/>
    <mergeCell ref="W51:X51"/>
    <mergeCell ref="W49:X49"/>
    <mergeCell ref="W50:X50"/>
    <mergeCell ref="A12:F12"/>
    <mergeCell ref="L38:M38"/>
    <mergeCell ref="O38:P38"/>
    <mergeCell ref="O39:P39"/>
    <mergeCell ref="E48:G48"/>
    <mergeCell ref="I40:J40"/>
    <mergeCell ref="L40:M40"/>
    <mergeCell ref="A39:E39"/>
    <mergeCell ref="A41:E41"/>
    <mergeCell ref="A14:F14"/>
    <mergeCell ref="A15:F15"/>
    <mergeCell ref="N25:P25"/>
    <mergeCell ref="A63:E63"/>
    <mergeCell ref="A48:D48"/>
    <mergeCell ref="H46:J46"/>
    <mergeCell ref="A51:E51"/>
    <mergeCell ref="A34:E34"/>
    <mergeCell ref="I31:J31"/>
    <mergeCell ref="I34:J34"/>
    <mergeCell ref="F25:F26"/>
    <mergeCell ref="A16:F16"/>
    <mergeCell ref="A18:F18"/>
    <mergeCell ref="H19:J19"/>
    <mergeCell ref="H25:J25"/>
    <mergeCell ref="G24:X24"/>
    <mergeCell ref="Q10:S10"/>
    <mergeCell ref="T10:V10"/>
    <mergeCell ref="N12:P12"/>
    <mergeCell ref="N13:P13"/>
    <mergeCell ref="T12:V12"/>
    <mergeCell ref="N11:P11"/>
    <mergeCell ref="K10:M10"/>
    <mergeCell ref="N10:P10"/>
    <mergeCell ref="N21:P21"/>
    <mergeCell ref="T21:V21"/>
    <mergeCell ref="T20:V20"/>
    <mergeCell ref="Q21:S21"/>
    <mergeCell ref="N20:P20"/>
    <mergeCell ref="K12:M12"/>
    <mergeCell ref="K13:M13"/>
    <mergeCell ref="A13:F13"/>
    <mergeCell ref="H13:J13"/>
    <mergeCell ref="L34:M34"/>
    <mergeCell ref="L33:M33"/>
    <mergeCell ref="L30:M30"/>
    <mergeCell ref="L32:M32"/>
    <mergeCell ref="H15:J15"/>
    <mergeCell ref="H14:J14"/>
    <mergeCell ref="K14:M14"/>
    <mergeCell ref="K17:M17"/>
    <mergeCell ref="A70:E70"/>
    <mergeCell ref="A74:B74"/>
    <mergeCell ref="A11:F11"/>
    <mergeCell ref="A17:F17"/>
    <mergeCell ref="E24:F24"/>
    <mergeCell ref="K15:M15"/>
    <mergeCell ref="H16:J16"/>
    <mergeCell ref="K18:M18"/>
    <mergeCell ref="K11:M11"/>
    <mergeCell ref="A24:D24"/>
    <mergeCell ref="A20:F20"/>
    <mergeCell ref="O26:P26"/>
    <mergeCell ref="A82:B82"/>
    <mergeCell ref="A77:A81"/>
    <mergeCell ref="A76:B76"/>
    <mergeCell ref="A75:B75"/>
    <mergeCell ref="A72:B72"/>
    <mergeCell ref="A73:B73"/>
    <mergeCell ref="N22:P22"/>
    <mergeCell ref="A29:E29"/>
    <mergeCell ref="Q20:S20"/>
    <mergeCell ref="I27:J27"/>
    <mergeCell ref="U30:V30"/>
    <mergeCell ref="O30:P30"/>
    <mergeCell ref="T19:V19"/>
    <mergeCell ref="A30:E30"/>
    <mergeCell ref="A27:E27"/>
    <mergeCell ref="A28:E28"/>
    <mergeCell ref="R28:S28"/>
    <mergeCell ref="A19:F19"/>
    <mergeCell ref="A33:E33"/>
    <mergeCell ref="R31:S31"/>
    <mergeCell ref="T22:V22"/>
    <mergeCell ref="Q22:S22"/>
    <mergeCell ref="O28:P28"/>
    <mergeCell ref="I30:J30"/>
    <mergeCell ref="R30:S30"/>
    <mergeCell ref="O33:P33"/>
    <mergeCell ref="A25:E26"/>
    <mergeCell ref="A31:E31"/>
    <mergeCell ref="A32:E32"/>
    <mergeCell ref="O27:P27"/>
    <mergeCell ref="R33:S33"/>
    <mergeCell ref="O29:P29"/>
    <mergeCell ref="A53:E53"/>
    <mergeCell ref="A52:E52"/>
    <mergeCell ref="A38:E38"/>
    <mergeCell ref="R34:S34"/>
    <mergeCell ref="O34:P34"/>
    <mergeCell ref="R36:S36"/>
    <mergeCell ref="A40:E40"/>
    <mergeCell ref="O44:P44"/>
    <mergeCell ref="Q49:S49"/>
    <mergeCell ref="N45:P45"/>
    <mergeCell ref="W34:X34"/>
    <mergeCell ref="W33:X33"/>
    <mergeCell ref="O36:P36"/>
    <mergeCell ref="U35:V35"/>
    <mergeCell ref="T46:V46"/>
    <mergeCell ref="W41:X41"/>
    <mergeCell ref="W32:X32"/>
    <mergeCell ref="R29:S29"/>
    <mergeCell ref="U32:V32"/>
    <mergeCell ref="U29:V29"/>
    <mergeCell ref="W29:X29"/>
    <mergeCell ref="R32:S32"/>
    <mergeCell ref="W31:X31"/>
    <mergeCell ref="W28:X28"/>
    <mergeCell ref="U28:V28"/>
    <mergeCell ref="W30:X30"/>
    <mergeCell ref="U36:V36"/>
    <mergeCell ref="U44:V44"/>
    <mergeCell ref="W44:X44"/>
    <mergeCell ref="U43:V43"/>
    <mergeCell ref="U34:V34"/>
    <mergeCell ref="U33:V33"/>
    <mergeCell ref="U31:V31"/>
    <mergeCell ref="W25:X25"/>
    <mergeCell ref="Q25:S25"/>
    <mergeCell ref="R26:S26"/>
    <mergeCell ref="W27:X27"/>
    <mergeCell ref="R27:S27"/>
    <mergeCell ref="T25:V25"/>
    <mergeCell ref="U26:V26"/>
    <mergeCell ref="W26:X26"/>
    <mergeCell ref="U27:V27"/>
    <mergeCell ref="W1:X1"/>
    <mergeCell ref="W2:X2"/>
    <mergeCell ref="T9:V9"/>
    <mergeCell ref="T17:V17"/>
    <mergeCell ref="T18:V18"/>
    <mergeCell ref="T16:V16"/>
    <mergeCell ref="A10:F10"/>
    <mergeCell ref="N4:P4"/>
    <mergeCell ref="N5:P5"/>
    <mergeCell ref="L3:U3"/>
    <mergeCell ref="L4:M4"/>
    <mergeCell ref="L5:M5"/>
    <mergeCell ref="Q4:U4"/>
    <mergeCell ref="Q5:U5"/>
    <mergeCell ref="H10:J10"/>
    <mergeCell ref="A4:D4"/>
    <mergeCell ref="A3:D3"/>
    <mergeCell ref="E3:I3"/>
    <mergeCell ref="E6:I6"/>
    <mergeCell ref="E4:I4"/>
    <mergeCell ref="E5:I5"/>
    <mergeCell ref="Q9:S9"/>
    <mergeCell ref="A5:D5"/>
    <mergeCell ref="A6:D6"/>
    <mergeCell ref="H9:J9"/>
    <mergeCell ref="Q14:S14"/>
    <mergeCell ref="T14:V14"/>
    <mergeCell ref="H11:J11"/>
    <mergeCell ref="Q12:S12"/>
    <mergeCell ref="Q13:S13"/>
    <mergeCell ref="K9:M9"/>
    <mergeCell ref="N9:P9"/>
    <mergeCell ref="T11:V11"/>
    <mergeCell ref="T13:V13"/>
    <mergeCell ref="Q11:S11"/>
    <mergeCell ref="N18:P18"/>
    <mergeCell ref="N19:P19"/>
    <mergeCell ref="Q19:S19"/>
    <mergeCell ref="Q18:S18"/>
    <mergeCell ref="Q17:S17"/>
    <mergeCell ref="N17:P17"/>
    <mergeCell ref="Q16:S16"/>
    <mergeCell ref="Q15:S15"/>
    <mergeCell ref="N14:P14"/>
    <mergeCell ref="T15:V15"/>
    <mergeCell ref="H17:J17"/>
    <mergeCell ref="A37:E37"/>
    <mergeCell ref="N15:P15"/>
    <mergeCell ref="K19:M19"/>
    <mergeCell ref="K16:M16"/>
    <mergeCell ref="N16:P16"/>
    <mergeCell ref="W36:X36"/>
    <mergeCell ref="R35:S35"/>
    <mergeCell ref="W46:X46"/>
    <mergeCell ref="A35:E35"/>
    <mergeCell ref="I35:J35"/>
    <mergeCell ref="W59:X59"/>
    <mergeCell ref="I43:J43"/>
    <mergeCell ref="L43:M43"/>
    <mergeCell ref="I41:J41"/>
    <mergeCell ref="L41:M41"/>
    <mergeCell ref="W35:X35"/>
    <mergeCell ref="L35:M35"/>
    <mergeCell ref="L39:M39"/>
    <mergeCell ref="W40:X40"/>
    <mergeCell ref="W42:X42"/>
    <mergeCell ref="R40:S40"/>
    <mergeCell ref="U38:V38"/>
    <mergeCell ref="U40:V40"/>
    <mergeCell ref="U42:V42"/>
    <mergeCell ref="W38:X38"/>
    <mergeCell ref="A36:E36"/>
    <mergeCell ref="I36:J36"/>
    <mergeCell ref="L36:M36"/>
    <mergeCell ref="R44:S44"/>
    <mergeCell ref="O42:P42"/>
    <mergeCell ref="L42:M42"/>
    <mergeCell ref="R43:S43"/>
    <mergeCell ref="R42:S42"/>
    <mergeCell ref="O40:P40"/>
    <mergeCell ref="A44:E44"/>
    <mergeCell ref="W43:X43"/>
    <mergeCell ref="O43:P43"/>
    <mergeCell ref="O41:P41"/>
    <mergeCell ref="R41:S41"/>
    <mergeCell ref="W37:X37"/>
    <mergeCell ref="U39:V39"/>
    <mergeCell ref="W39:X39"/>
    <mergeCell ref="R39:S39"/>
    <mergeCell ref="U37:V37"/>
    <mergeCell ref="R37:S37"/>
    <mergeCell ref="G25:G26"/>
    <mergeCell ref="I26:J26"/>
    <mergeCell ref="L26:M26"/>
    <mergeCell ref="I39:J39"/>
    <mergeCell ref="R38:S38"/>
    <mergeCell ref="L37:M37"/>
    <mergeCell ref="O37:P37"/>
    <mergeCell ref="O35:P35"/>
    <mergeCell ref="I29:J29"/>
    <mergeCell ref="I37:J37"/>
    <mergeCell ref="I44:J44"/>
    <mergeCell ref="L44:M44"/>
    <mergeCell ref="A43:E43"/>
    <mergeCell ref="A42:E42"/>
    <mergeCell ref="I42:J42"/>
    <mergeCell ref="U41:V41"/>
  </mergeCells>
  <printOptions/>
  <pageMargins left="0.25" right="0.25" top="0.25" bottom="0.5" header="0.25" footer="0.25"/>
  <pageSetup horizontalDpi="600" verticalDpi="600" orientation="landscape" r:id="rId1"/>
  <headerFooter alignWithMargins="0">
    <oddFooter>&amp;L&amp;F&amp;C&amp;D&amp;R&amp;A</oddFooter>
  </headerFooter>
  <rowBreaks count="2" manualBreakCount="2">
    <brk id="47" max="23" man="1"/>
    <brk id="71" max="23" man="1"/>
  </rowBreaks>
</worksheet>
</file>

<file path=xl/worksheets/sheet5.xml><?xml version="1.0" encoding="utf-8"?>
<worksheet xmlns="http://schemas.openxmlformats.org/spreadsheetml/2006/main" xmlns:r="http://schemas.openxmlformats.org/officeDocument/2006/relationships">
  <dimension ref="A1:L208"/>
  <sheetViews>
    <sheetView showGridLines="0" showZeros="0" zoomScalePageLayoutView="0" workbookViewId="0" topLeftCell="A1">
      <selection activeCell="A1" sqref="A1"/>
    </sheetView>
  </sheetViews>
  <sheetFormatPr defaultColWidth="9.140625" defaultRowHeight="12.75"/>
  <cols>
    <col min="1" max="1" width="7.7109375" style="7" customWidth="1"/>
    <col min="2" max="2" width="7.140625" style="7" customWidth="1"/>
    <col min="3" max="3" width="12.57421875" style="7" customWidth="1"/>
    <col min="4" max="4" width="9.421875" style="7" customWidth="1"/>
    <col min="5" max="5" width="6.7109375" style="7" customWidth="1"/>
    <col min="6" max="6" width="7.00390625" style="7" customWidth="1"/>
    <col min="7" max="7" width="10.28125" style="7" customWidth="1"/>
    <col min="8" max="8" width="6.421875" style="7" customWidth="1"/>
    <col min="9" max="10" width="7.7109375" style="7" customWidth="1"/>
    <col min="11" max="11" width="8.00390625" style="7" customWidth="1"/>
    <col min="12" max="12" width="11.421875" style="7" customWidth="1"/>
    <col min="13" max="15" width="0.71875" style="4" customWidth="1"/>
    <col min="16" max="16384" width="9.140625" style="4" customWidth="1"/>
  </cols>
  <sheetData>
    <row r="1" spans="1:12" ht="12.75">
      <c r="A1" s="13" t="s">
        <v>2039</v>
      </c>
      <c r="B1" s="12"/>
      <c r="C1" s="12"/>
      <c r="D1" s="12"/>
      <c r="F1" s="12"/>
      <c r="G1" s="12"/>
      <c r="H1" s="12"/>
      <c r="J1" s="12"/>
      <c r="K1" s="12"/>
      <c r="L1" s="153" t="s">
        <v>2302</v>
      </c>
    </row>
    <row r="2" spans="1:12" ht="12.75">
      <c r="A2" s="13" t="s">
        <v>2041</v>
      </c>
      <c r="B2" s="12"/>
      <c r="C2" s="12"/>
      <c r="D2" s="12"/>
      <c r="E2" s="1160">
        <f>IF(OR(C45="repair",C46="repair"),"Add to Existing Card",0)</f>
        <v>0</v>
      </c>
      <c r="F2" s="1160"/>
      <c r="G2" s="1160"/>
      <c r="H2" s="1160"/>
      <c r="I2" s="1160"/>
      <c r="J2" s="1160"/>
      <c r="K2" s="12"/>
      <c r="L2" s="154" t="s">
        <v>3788</v>
      </c>
    </row>
    <row r="3" spans="1:12" ht="12.75">
      <c r="A3" s="13" t="s">
        <v>2383</v>
      </c>
      <c r="B3" s="12"/>
      <c r="C3" s="12"/>
      <c r="D3" s="12"/>
      <c r="E3" s="1160"/>
      <c r="F3" s="1160"/>
      <c r="G3" s="1160"/>
      <c r="H3" s="1160"/>
      <c r="I3" s="1160"/>
      <c r="J3" s="1160"/>
      <c r="K3" s="12"/>
      <c r="L3" s="12"/>
    </row>
    <row r="4" ht="12.75">
      <c r="A4" s="155" t="s">
        <v>2617</v>
      </c>
    </row>
    <row r="6" spans="1:12" ht="12.75">
      <c r="A6" s="1100" t="s">
        <v>64</v>
      </c>
      <c r="B6" s="1101"/>
      <c r="C6" s="156" t="s">
        <v>2303</v>
      </c>
      <c r="D6" s="156" t="s">
        <v>2304</v>
      </c>
      <c r="E6" s="1105" t="s">
        <v>2306</v>
      </c>
      <c r="F6" s="1100"/>
      <c r="G6" s="1100"/>
      <c r="H6" s="1101"/>
      <c r="I6" s="1105" t="s">
        <v>2308</v>
      </c>
      <c r="J6" s="1100"/>
      <c r="K6" s="1100"/>
      <c r="L6" s="1100"/>
    </row>
    <row r="7" spans="1:12" ht="12.75">
      <c r="A7" s="1114">
        <f>Input!F5</f>
        <v>8</v>
      </c>
      <c r="B7" s="1115"/>
      <c r="C7" s="158" t="str">
        <f>Input!F2</f>
        <v>Lincoln</v>
      </c>
      <c r="D7" s="159"/>
      <c r="E7" s="1149" t="str">
        <f>Input!F14</f>
        <v>US 150</v>
      </c>
      <c r="F7" s="1114"/>
      <c r="G7" s="1114"/>
      <c r="H7" s="1115"/>
      <c r="I7" s="1156" t="str">
        <f>Input!F38</f>
        <v>Rural Arterial</v>
      </c>
      <c r="J7" s="1157"/>
      <c r="K7" s="1157"/>
      <c r="L7" s="1157"/>
    </row>
    <row r="8" spans="1:12" ht="12.75">
      <c r="A8" s="1065" t="s">
        <v>2309</v>
      </c>
      <c r="B8" s="1065"/>
      <c r="C8" s="160" t="str">
        <f>Input!F15</f>
        <v>Crab Orchard - Mt Vernon Road</v>
      </c>
      <c r="D8" s="160"/>
      <c r="E8" s="160"/>
      <c r="F8" s="160"/>
      <c r="G8" s="160"/>
      <c r="I8" s="1064" t="s">
        <v>2310</v>
      </c>
      <c r="J8" s="1065"/>
      <c r="K8" s="1108" t="str">
        <f>Input!F16</f>
        <v>Flax Creek</v>
      </c>
      <c r="L8" s="1108"/>
    </row>
    <row r="9" spans="1:12" ht="12.75">
      <c r="A9" s="1065" t="s">
        <v>2311</v>
      </c>
      <c r="B9" s="1065"/>
      <c r="C9" s="1152" t="str">
        <f>Input!F17</f>
        <v>SE of Crab Orchard</v>
      </c>
      <c r="D9" s="1152"/>
      <c r="E9" s="1152"/>
      <c r="F9" s="1152"/>
      <c r="G9" s="1152"/>
      <c r="H9" s="1153"/>
      <c r="I9" s="1064" t="s">
        <v>2312</v>
      </c>
      <c r="J9" s="1065"/>
      <c r="K9" s="1108" t="str">
        <f>IF(Input!F24&gt;1,Input!F24,0)</f>
        <v>167+50.000</v>
      </c>
      <c r="L9" s="1108"/>
    </row>
    <row r="10" spans="1:12" ht="13.5" thickBot="1">
      <c r="A10" s="161" t="s">
        <v>2347</v>
      </c>
      <c r="B10" s="190" t="str">
        <f>CONCATENATE(TEXT(Input!F25,"0.0")," ",Input!I25," ",Input!J25)</f>
        <v>30.0 deg Rt</v>
      </c>
      <c r="C10" s="161" t="s">
        <v>2348</v>
      </c>
      <c r="D10" s="162" t="str">
        <f>CONCATENATE(TEXT(Input!F28,"0.0")," ",Input!I28)</f>
        <v>153.5 ft.</v>
      </c>
      <c r="E10" s="1098" t="s">
        <v>2349</v>
      </c>
      <c r="F10" s="1099"/>
      <c r="G10" s="1111" t="str">
        <f>CONCATENATE(TEXT(Input!F31,"0.0")," ",Input!I31)</f>
        <v>50.0 ft.</v>
      </c>
      <c r="H10" s="1112"/>
      <c r="I10" s="1098" t="s">
        <v>2350</v>
      </c>
      <c r="J10" s="1099"/>
      <c r="K10" s="1155" t="str">
        <f>Input!F21</f>
        <v>HS-25</v>
      </c>
      <c r="L10" s="1155"/>
    </row>
    <row r="11" spans="1:12" ht="13.5" thickTop="1">
      <c r="A11" s="1096" t="s">
        <v>2623</v>
      </c>
      <c r="B11" s="1096"/>
      <c r="C11" s="1096"/>
      <c r="D11" s="1102"/>
      <c r="E11" s="1095" t="s">
        <v>2624</v>
      </c>
      <c r="F11" s="1096"/>
      <c r="G11" s="1097"/>
      <c r="H11" s="1161" t="s">
        <v>2035</v>
      </c>
      <c r="I11" s="1123"/>
      <c r="J11" s="1123"/>
      <c r="K11" s="1123"/>
      <c r="L11" s="1123"/>
    </row>
    <row r="12" spans="1:12" s="219" customFormat="1" ht="20.25">
      <c r="A12" s="220" t="s">
        <v>78</v>
      </c>
      <c r="B12" s="221" t="s">
        <v>79</v>
      </c>
      <c r="C12" s="1158" t="s">
        <v>80</v>
      </c>
      <c r="D12" s="1159"/>
      <c r="E12" s="220" t="s">
        <v>81</v>
      </c>
      <c r="F12" s="220" t="s">
        <v>82</v>
      </c>
      <c r="G12" s="222" t="s">
        <v>83</v>
      </c>
      <c r="H12" s="223" t="s">
        <v>84</v>
      </c>
      <c r="I12" s="223" t="s">
        <v>85</v>
      </c>
      <c r="J12" s="223" t="s">
        <v>86</v>
      </c>
      <c r="K12" s="223" t="s">
        <v>87</v>
      </c>
      <c r="L12" s="224" t="s">
        <v>88</v>
      </c>
    </row>
    <row r="13" spans="1:12" ht="12.75">
      <c r="A13" s="158" t="str">
        <f>IF(Input!$F$26,"1",0)</f>
        <v>1</v>
      </c>
      <c r="B13" s="158" t="str">
        <f>IF(Input!$F$26,CONCATENATE(TEXT(Input!B54,"0.0")," ",Input!C54),0)</f>
        <v>50.0 ft</v>
      </c>
      <c r="C13" s="1133" t="str">
        <f>IF(Input!$F$26,Input!F20,0)</f>
        <v>PCIB Type 3</v>
      </c>
      <c r="D13" s="1134"/>
      <c r="E13" s="158" t="str">
        <f>IF(Input!$F$26&gt;0,"1",0)</f>
        <v>1</v>
      </c>
      <c r="F13" s="158" t="str">
        <f>IF(Input!$F$26&gt;0,CONCATENATE(TEXT(Input!G49,"0.0")," ",Input!H49),0)</f>
        <v>4.0 ft</v>
      </c>
      <c r="G13" s="168" t="str">
        <f>IF(Input!$F$26&gt;0,Input!F49,0)</f>
        <v>IEB</v>
      </c>
      <c r="H13" s="169"/>
      <c r="I13" s="169"/>
      <c r="J13" s="169"/>
      <c r="K13" s="169"/>
      <c r="L13" s="170"/>
    </row>
    <row r="14" spans="1:12" ht="12.75">
      <c r="A14" s="158">
        <f>IF(Input!$F$26&gt;1,2,0)</f>
        <v>2</v>
      </c>
      <c r="B14" s="158" t="str">
        <f>IF(Input!$F$26&gt;1,CONCATENATE(TEXT(Input!B56,"0.0")," ",Input!C56),0)</f>
        <v>50.0 ft</v>
      </c>
      <c r="C14" s="1103" t="str">
        <f>IF(Input!$F26&gt;1,Input!$F$20,0)</f>
        <v>PCIB Type 3</v>
      </c>
      <c r="D14" s="1104"/>
      <c r="E14" s="158" t="str">
        <f>IF(Input!$F$26&gt;0,"2",0)</f>
        <v>2</v>
      </c>
      <c r="F14" s="158" t="str">
        <f>IF(Input!$F$26&gt;0,CONCATENATE(TEXT(Input!G50,"0.0")," ",Input!H50),0)</f>
        <v>4.0 ft</v>
      </c>
      <c r="G14" s="168" t="str">
        <f>IF(Input!$F$26&gt;0,Input!F50,0)</f>
        <v>IEB</v>
      </c>
      <c r="H14" s="169"/>
      <c r="I14" s="169"/>
      <c r="J14" s="169"/>
      <c r="K14" s="169"/>
      <c r="L14" s="170"/>
    </row>
    <row r="15" spans="1:12" ht="12.75">
      <c r="A15" s="158">
        <f>IF(Input!$F$26&gt;2,3,0)</f>
        <v>3</v>
      </c>
      <c r="B15" s="158" t="str">
        <f>IF(Input!$F$26&gt;2,CONCATENATE(TEXT(Input!B58,"0.0")," ",Input!C58),0)</f>
        <v>50.0 ft</v>
      </c>
      <c r="C15" s="1103" t="str">
        <f>IF(Input!$F$26&gt;2,Input!$F$20,0)</f>
        <v>PCIB Type 3</v>
      </c>
      <c r="D15" s="1104"/>
      <c r="E15" s="158">
        <f>IF(Input!$F$26&gt;1,1,0)</f>
        <v>1</v>
      </c>
      <c r="F15" s="158" t="str">
        <f>IF(Input!$F$26&gt;1,CONCATENATE(TEXT(Input!E55,"0.0")," ",Input!F55),0)</f>
        <v>25.5 ft</v>
      </c>
      <c r="G15" s="168" t="str">
        <f>IF(Input!$F$26&gt;1,Input!D55,0)</f>
        <v>C1</v>
      </c>
      <c r="H15" s="169"/>
      <c r="I15" s="169"/>
      <c r="J15" s="169"/>
      <c r="K15" s="169"/>
      <c r="L15" s="170"/>
    </row>
    <row r="16" spans="1:12" ht="12.75">
      <c r="A16" s="158">
        <f>IF(Input!$F$26&gt;3,4,0)</f>
        <v>0</v>
      </c>
      <c r="B16" s="158">
        <f>IF(Input!$F$26&gt;3,CONCATENATE(TEXT(Input!B60,"0.0")," ",Input!C60),0)</f>
        <v>0</v>
      </c>
      <c r="C16" s="1103">
        <f>IF(Input!$F$26&gt;3,Input!$F$20,0)</f>
        <v>0</v>
      </c>
      <c r="D16" s="1104"/>
      <c r="E16" s="158">
        <f>IF(Input!$F$26&gt;2,2,0)</f>
        <v>2</v>
      </c>
      <c r="F16" s="158" t="str">
        <f>IF(Input!$F$26&gt;2,CONCATENATE(TEXT(Input!E57,"0.0")," ",Input!F57),0)</f>
        <v>22.4 ft</v>
      </c>
      <c r="G16" s="168" t="str">
        <f>IF(Input!$F$26&gt;2,Input!D57,0)</f>
        <v>C1</v>
      </c>
      <c r="H16" s="169"/>
      <c r="I16" s="169"/>
      <c r="J16" s="169"/>
      <c r="K16" s="169"/>
      <c r="L16" s="170"/>
    </row>
    <row r="17" spans="1:12" ht="12.75">
      <c r="A17" s="158">
        <f>IF(Input!$F$26&gt;4,5,0)</f>
        <v>0</v>
      </c>
      <c r="B17" s="158">
        <f>IF(Input!$F$26&gt;4,CONCATENATE(TEXT(Input!B62,"0.0")," ",Input!C62),0)</f>
        <v>0</v>
      </c>
      <c r="C17" s="1103">
        <f>IF(Input!$F$26&gt;4,Input!$F$20,0)</f>
        <v>0</v>
      </c>
      <c r="D17" s="1104"/>
      <c r="E17" s="158">
        <f>IF(Input!$F$26&gt;3,3,0)</f>
        <v>0</v>
      </c>
      <c r="F17" s="158">
        <f>IF(Input!$F$26&gt;3,CONCATENATE(TEXT(Input!E59,"0.0")," ",Input!F59),0)</f>
        <v>0</v>
      </c>
      <c r="G17" s="168">
        <f>IF(Input!$F$26&gt;3,Input!D59,0)</f>
        <v>0</v>
      </c>
      <c r="H17" s="169"/>
      <c r="I17" s="169"/>
      <c r="J17" s="169"/>
      <c r="K17" s="169"/>
      <c r="L17" s="170"/>
    </row>
    <row r="18" spans="1:12" ht="12.75">
      <c r="A18" s="158">
        <f>IF(Input!$F$26&gt;5,6,0)</f>
        <v>0</v>
      </c>
      <c r="B18" s="158">
        <f>IF(Input!$F$26&gt;5,CONCATENATE(TEXT(Input!B64,"0.0")," ",Input!C64),0)</f>
        <v>0</v>
      </c>
      <c r="C18" s="1103">
        <f>IF(Input!$F$26&gt;5,Input!$F$20,0)</f>
        <v>0</v>
      </c>
      <c r="D18" s="1104"/>
      <c r="E18" s="158">
        <f>IF(Input!$F$26&gt;4,4,0)</f>
        <v>0</v>
      </c>
      <c r="F18" s="158">
        <f>IF(Input!$F$26&gt;4,CONCATENATE(TEXT(Input!E61,"0.0")," ",Input!F61),0)</f>
        <v>0</v>
      </c>
      <c r="G18" s="168">
        <f>IF(Input!$F$26&gt;4,Input!D61,0)</f>
        <v>0</v>
      </c>
      <c r="H18" s="169"/>
      <c r="I18" s="169"/>
      <c r="J18" s="169"/>
      <c r="K18" s="169"/>
      <c r="L18" s="170"/>
    </row>
    <row r="19" spans="1:12" ht="12.75">
      <c r="A19" s="158">
        <f>IF(Input!$F$26&gt;6,7,0)</f>
        <v>0</v>
      </c>
      <c r="B19" s="158">
        <f>IF(Input!$F$26&gt;6,CONCATENATE(TEXT(Input!B66,"0.0")," ",Input!C66),0)</f>
        <v>0</v>
      </c>
      <c r="C19" s="1103">
        <f>IF(Input!$F$26&gt;6,Input!$F$20,0)</f>
        <v>0</v>
      </c>
      <c r="D19" s="1104"/>
      <c r="E19" s="158">
        <f>IF(Input!$F$26&gt;5,5,0)</f>
        <v>0</v>
      </c>
      <c r="F19" s="171">
        <f>IF(Input!$F$26&gt;5,CONCATENATE(TEXT(Input!E63,"0.0")," ",Input!F63),0)</f>
        <v>0</v>
      </c>
      <c r="G19" s="172">
        <f>IF(Input!$F$26&gt;5,Input!D63,0)</f>
        <v>0</v>
      </c>
      <c r="H19" s="173"/>
      <c r="I19" s="174"/>
      <c r="J19" s="174"/>
      <c r="K19" s="174"/>
      <c r="L19" s="175"/>
    </row>
    <row r="20" spans="1:12" ht="12.75">
      <c r="A20" s="158">
        <f>IF(Input!$F$26&gt;7,8,0)</f>
        <v>0</v>
      </c>
      <c r="B20" s="158">
        <f>IF(Input!$F$26&gt;7,CONCATENATE(TEXT(Input!B68,"0.0")," ",Input!C66),0)</f>
        <v>0</v>
      </c>
      <c r="C20" s="1103">
        <f>IF(Input!$F$26&gt;7,Input!$F$20,0)</f>
        <v>0</v>
      </c>
      <c r="D20" s="1104"/>
      <c r="E20" s="158">
        <f>IF(Input!$F$26&gt;6,6,0)</f>
        <v>0</v>
      </c>
      <c r="F20" s="171">
        <f>IF(Input!$F$26&gt;6,CONCATENATE(TEXT(Input!E65,"0.0")," ",Input!F65),0)</f>
        <v>0</v>
      </c>
      <c r="G20" s="172">
        <f>IF(Input!$F$26&gt;6,Input!D65,0)</f>
        <v>0</v>
      </c>
      <c r="H20" s="173"/>
      <c r="I20" s="174"/>
      <c r="J20" s="174"/>
      <c r="K20" s="174"/>
      <c r="L20" s="175"/>
    </row>
    <row r="21" spans="1:12" ht="12.75">
      <c r="A21" s="158">
        <f>IF(Input!$F$26&gt;8,9,0)</f>
        <v>0</v>
      </c>
      <c r="B21" s="158">
        <f>IF(Input!$F$26&gt;8,CONCATENATE(TEXT(Input!B70,"0.0")," ",Input!C70),0)</f>
        <v>0</v>
      </c>
      <c r="C21" s="1103">
        <f>IF(Input!$F$26&gt;8,Input!$F$20,0)</f>
        <v>0</v>
      </c>
      <c r="D21" s="1104"/>
      <c r="E21" s="158">
        <f>IF(Input!$F$26&gt;7,7,0)</f>
        <v>0</v>
      </c>
      <c r="F21" s="171">
        <f>IF(Input!$F$26&gt;7,CONCATENATE(TEXT(Input!E67,"0.0")," ",Input!F67),0)</f>
        <v>0</v>
      </c>
      <c r="G21" s="172">
        <f>IF(Input!$F$26&gt;7,Input!D67,0)</f>
        <v>0</v>
      </c>
      <c r="H21" s="173"/>
      <c r="I21" s="174"/>
      <c r="J21" s="174"/>
      <c r="K21" s="174"/>
      <c r="L21" s="175"/>
    </row>
    <row r="22" spans="1:12" ht="12.75">
      <c r="A22" s="158">
        <f>IF(Input!$F$26&gt;9,10,0)</f>
        <v>0</v>
      </c>
      <c r="B22" s="158">
        <f>IF(Input!$F$26&gt;9,CONCATENATE(TEXT(Input!B72,"0.0")," ",Input!C72),0)</f>
        <v>0</v>
      </c>
      <c r="C22" s="1103">
        <f>IF(Input!$F$26&gt;9,Input!$F$20,0)</f>
        <v>0</v>
      </c>
      <c r="D22" s="1104"/>
      <c r="E22" s="158">
        <f>IF(Input!$F$26&gt;8,8,0)</f>
        <v>0</v>
      </c>
      <c r="F22" s="171">
        <f>IF(Input!$F$26&gt;8,CONCATENATE(TEXT(Input!E69,"0.0")," ",Input!F69),0)</f>
        <v>0</v>
      </c>
      <c r="G22" s="172">
        <f>IF(Input!$F$26&gt;8,Input!D69,0)</f>
        <v>0</v>
      </c>
      <c r="H22" s="176"/>
      <c r="I22" s="177"/>
      <c r="J22" s="174"/>
      <c r="K22" s="174"/>
      <c r="L22" s="175"/>
    </row>
    <row r="23" spans="1:12" ht="12.75">
      <c r="A23" s="158">
        <f>IF(Input!$F$26&gt;10,11,0)</f>
        <v>0</v>
      </c>
      <c r="B23" s="158">
        <f>IF(Input!$F$26&gt;10,CONCATENATE(TEXT(Input!B74,"0.0")," ",Input!C74),0)</f>
        <v>0</v>
      </c>
      <c r="C23" s="1103">
        <f>IF(Input!$F$26&gt;10,Input!$F$20,0)</f>
        <v>0</v>
      </c>
      <c r="D23" s="1104"/>
      <c r="E23" s="158">
        <f>IF(Input!$F$26&gt;9,9,0)</f>
        <v>0</v>
      </c>
      <c r="F23" s="171">
        <f>IF(Input!$F$26&gt;9,CONCATENATE(TEXT(Input!E71,"0.0")," ",Input!F71),0)</f>
        <v>0</v>
      </c>
      <c r="G23" s="172">
        <f>IF(Input!$F$26&gt;9,Input!D71,0)</f>
        <v>0</v>
      </c>
      <c r="H23" s="176"/>
      <c r="I23" s="177"/>
      <c r="J23" s="177"/>
      <c r="K23" s="177"/>
      <c r="L23" s="178"/>
    </row>
    <row r="24" spans="1:12" ht="12.75">
      <c r="A24" s="158">
        <f>IF(Input!$F$26&gt;11,12,0)</f>
        <v>0</v>
      </c>
      <c r="B24" s="158">
        <f>IF(Input!$F$26&gt;11,CONCATENATE(TEXT(Input!B76,"0.0")," ",Input!C76),0)</f>
        <v>0</v>
      </c>
      <c r="C24" s="1103">
        <f>IF(Input!$F$26&gt;11,Input!$F$20,0)</f>
        <v>0</v>
      </c>
      <c r="D24" s="1104"/>
      <c r="E24" s="158">
        <f>IF(Input!$F$26&gt;10,10,0)</f>
        <v>0</v>
      </c>
      <c r="F24" s="171">
        <f>IF(Input!$F$26&gt;10,CONCATENATE(TEXT(Input!E73,"0.0")," ",Input!F73),0)</f>
        <v>0</v>
      </c>
      <c r="G24" s="172">
        <f>IF(Input!$F$26&gt;10,Input!D73,0)</f>
        <v>0</v>
      </c>
      <c r="H24" s="176"/>
      <c r="I24" s="177"/>
      <c r="J24" s="177"/>
      <c r="K24" s="177"/>
      <c r="L24" s="178"/>
    </row>
    <row r="25" spans="1:12" ht="12.75">
      <c r="A25" s="158">
        <f>IF(Input!$F$26&gt;12,13,0)</f>
        <v>0</v>
      </c>
      <c r="B25" s="158">
        <f>IF(Input!$F$26&gt;12,CONCATENATE(TEXT(Input!B78,"0.0")," ",Input!C78),0)</f>
        <v>0</v>
      </c>
      <c r="C25" s="1103">
        <f>IF(Input!$F$26&gt;12,Input!$F$20,0)</f>
        <v>0</v>
      </c>
      <c r="D25" s="1104"/>
      <c r="E25" s="158">
        <f>IF(Input!$F$26&gt;11,11,0)</f>
        <v>0</v>
      </c>
      <c r="F25" s="171">
        <f>IF(Input!$F$26&gt;11,CONCATENATE(TEXT(Input!E75,"0.0")," ",Input!F75),0)</f>
        <v>0</v>
      </c>
      <c r="G25" s="172">
        <f>IF(Input!$F$26&gt;11,Input!D75,0)</f>
        <v>0</v>
      </c>
      <c r="H25" s="176"/>
      <c r="I25" s="177"/>
      <c r="J25" s="177"/>
      <c r="K25" s="177"/>
      <c r="L25" s="178"/>
    </row>
    <row r="26" spans="1:12" ht="12.75">
      <c r="A26" s="157">
        <f>IF(Input!$F$26&gt;13,14,0)</f>
        <v>0</v>
      </c>
      <c r="B26" s="171">
        <f>IF(Input!$F$26&gt;13,CONCATENATE(TEXT(Input!B80,"0.0")," ",Input!C80),0)</f>
        <v>0</v>
      </c>
      <c r="C26" s="1103">
        <f>IF(Input!$F$26&gt;13,Input!$F$20,0)</f>
        <v>0</v>
      </c>
      <c r="D26" s="1104"/>
      <c r="E26" s="158">
        <f>IF(Input!$F$26&gt;12,12,0)</f>
        <v>0</v>
      </c>
      <c r="F26" s="171">
        <f>IF(Input!$F$26&gt;12,CONCATENATE(TEXT(Input!E77,"0.0")," ",Input!F77),0)</f>
        <v>0</v>
      </c>
      <c r="G26" s="172">
        <f>IF(Input!$F$26&gt;12,Input!D77,0)</f>
        <v>0</v>
      </c>
      <c r="H26" s="176"/>
      <c r="I26" s="177"/>
      <c r="J26" s="177"/>
      <c r="K26" s="177"/>
      <c r="L26" s="178"/>
    </row>
    <row r="27" spans="1:12" ht="12.75">
      <c r="A27" s="157">
        <f>IF(Input!$F$26&gt;14,15,0)</f>
        <v>0</v>
      </c>
      <c r="B27" s="179">
        <f>IF(Input!$F$26&gt;14,CONCATENATE(TEXT(Input!B82,"0.0")," ",Input!C82),0)</f>
        <v>0</v>
      </c>
      <c r="C27" s="1103">
        <f>IF(Input!$F$26&gt;14,Input!$F$20,0)</f>
        <v>0</v>
      </c>
      <c r="D27" s="1104"/>
      <c r="E27" s="158">
        <f>IF(Input!$F$26&gt;13,13,0)</f>
        <v>0</v>
      </c>
      <c r="F27" s="171">
        <f>IF(Input!$F$26&gt;13,CONCATENATE(TEXT(Input!E79,"0.0")," ",Input!F79),0)</f>
        <v>0</v>
      </c>
      <c r="G27" s="172">
        <f>IF(Input!$F$26&gt;13,Input!D79,0)</f>
        <v>0</v>
      </c>
      <c r="H27" s="176"/>
      <c r="I27" s="177"/>
      <c r="J27" s="177"/>
      <c r="K27" s="177"/>
      <c r="L27" s="178"/>
    </row>
    <row r="28" spans="1:12" ht="12.75">
      <c r="A28" s="157">
        <f>IF(Input!$F$26&gt;15,16,0)</f>
        <v>0</v>
      </c>
      <c r="B28" s="179">
        <f>IF(Input!$F$26&gt;15,CONCATENATE(TEXT(Input!I54,"0.0")," ",Input!J54),0)</f>
        <v>0</v>
      </c>
      <c r="C28" s="1103">
        <f>IF(Input!$F$26&gt;15,Input!$F$20,0)</f>
        <v>0</v>
      </c>
      <c r="D28" s="1104"/>
      <c r="E28" s="158">
        <f>IF(Input!$F$26&gt;14,14,0)</f>
        <v>0</v>
      </c>
      <c r="F28" s="171">
        <f>IF(Input!$F$26&gt;14,CONCATENATE(TEXT(Input!E81,"0.0")," ",Input!F81),0)</f>
        <v>0</v>
      </c>
      <c r="G28" s="172">
        <f>IF(Input!$F$26&gt;14,Input!D81,0)</f>
        <v>0</v>
      </c>
      <c r="H28" s="176"/>
      <c r="I28" s="177"/>
      <c r="J28" s="177"/>
      <c r="K28" s="177"/>
      <c r="L28" s="178"/>
    </row>
    <row r="29" spans="1:12" ht="12.75">
      <c r="A29" s="157">
        <f>IF(Input!$F$26&gt;16,17,0)</f>
        <v>0</v>
      </c>
      <c r="B29" s="179">
        <f>IF(Input!$F$26&gt;16,CONCATENATE(TEXT(Input!I56,"0.0")," ",Input!J56),0)</f>
        <v>0</v>
      </c>
      <c r="C29" s="1103">
        <f>IF(Input!$F$26&gt;16,Input!$F$20,0)</f>
        <v>0</v>
      </c>
      <c r="D29" s="1104"/>
      <c r="E29" s="158">
        <f>IF(Input!$F$26&gt;15,15,0)</f>
        <v>0</v>
      </c>
      <c r="F29" s="171">
        <f>IF(Input!$F$26&gt;15,CONCATENATE(TEXT(Input!E83,"0.0")," ",Input!F83),0)</f>
        <v>0</v>
      </c>
      <c r="G29" s="172">
        <f>IF(Input!$F$26&gt;15,Input!D83,0)</f>
        <v>0</v>
      </c>
      <c r="H29" s="176"/>
      <c r="I29" s="177"/>
      <c r="J29" s="177"/>
      <c r="K29" s="177"/>
      <c r="L29" s="178"/>
    </row>
    <row r="30" spans="1:12" ht="12.75">
      <c r="A30" s="157">
        <f>IF(Input!$F$26&gt;17,18,0)</f>
        <v>0</v>
      </c>
      <c r="B30" s="179">
        <f>IF(Input!$F$26&gt;17,CONCATENATE(TEXT(Input!I58,"0.0")," ",Input!J58),0)</f>
        <v>0</v>
      </c>
      <c r="C30" s="1103">
        <f>IF(Input!$F$26&gt;17,Input!$F$20,0)</f>
        <v>0</v>
      </c>
      <c r="D30" s="1104"/>
      <c r="E30" s="158">
        <f>IF(Input!$F$26&gt;16,16,0)</f>
        <v>0</v>
      </c>
      <c r="F30" s="171">
        <f>IF(Input!$F$26&gt;16,CONCATENATE(TEXT(Input!L55,"0.0")," ",Input!M55),0)</f>
        <v>0</v>
      </c>
      <c r="G30" s="172">
        <f>IF(Input!$F$26&gt;16,Input!K55,0)</f>
        <v>0</v>
      </c>
      <c r="H30" s="176"/>
      <c r="I30" s="177"/>
      <c r="J30" s="177"/>
      <c r="K30" s="177"/>
      <c r="L30" s="178"/>
    </row>
    <row r="31" spans="1:12" ht="12.75">
      <c r="A31" s="157">
        <f>IF(Input!$F$26&gt;18,19,0)</f>
        <v>0</v>
      </c>
      <c r="B31" s="179">
        <f>IF(Input!$F$26&gt;18,CONCATENATE(TEXT(Input!I60,"0.0")," ",Input!J60),0)</f>
        <v>0</v>
      </c>
      <c r="C31" s="1103">
        <f>IF(Input!$F$26&gt;18,Input!$F$20,0)</f>
        <v>0</v>
      </c>
      <c r="D31" s="1104"/>
      <c r="E31" s="158">
        <f>IF(Input!$F$26&gt;17,17,0)</f>
        <v>0</v>
      </c>
      <c r="F31" s="171">
        <f>IF(Input!$F$26&gt;17,CONCATENATE(TEXT(Input!L57,"0.0")," ",Input!M57),0)</f>
        <v>0</v>
      </c>
      <c r="G31" s="172">
        <f>IF(Input!$F$26&gt;17,Input!K57,0)</f>
        <v>0</v>
      </c>
      <c r="H31" s="176"/>
      <c r="I31" s="177"/>
      <c r="J31" s="177"/>
      <c r="K31" s="177"/>
      <c r="L31" s="178"/>
    </row>
    <row r="32" spans="1:12" ht="12.75">
      <c r="A32" s="157">
        <f>IF(Input!$F$26&gt;19,20,0)</f>
        <v>0</v>
      </c>
      <c r="B32" s="179">
        <f>IF(Input!$F$26&gt;19,CONCATENATE(TEXT(Input!I62,"0.0")," ",Input!J62),0)</f>
        <v>0</v>
      </c>
      <c r="C32" s="1103">
        <f>IF(Input!$F$26&gt;19,Input!$F$20,0)</f>
        <v>0</v>
      </c>
      <c r="D32" s="1104"/>
      <c r="E32" s="158">
        <f>IF(Input!$F$26&gt;18,18,0)</f>
        <v>0</v>
      </c>
      <c r="F32" s="171">
        <f>IF(Input!$F$26&gt;18,CONCATENATE(TEXT(Input!L59,"0.0")," ",Input!M59),0)</f>
        <v>0</v>
      </c>
      <c r="G32" s="172">
        <f>IF(Input!$F$26&gt;18,Input!K59,0)</f>
        <v>0</v>
      </c>
      <c r="H32" s="176"/>
      <c r="I32" s="177"/>
      <c r="J32" s="177"/>
      <c r="K32" s="177"/>
      <c r="L32" s="178"/>
    </row>
    <row r="33" spans="1:12" ht="12.75">
      <c r="A33" s="157">
        <f>IF(Input!$F$26&gt;20,21,0)</f>
        <v>0</v>
      </c>
      <c r="B33" s="179">
        <f>IF(Input!$F$26&gt;20,CONCATENATE(TEXT(Input!I64,"0.0")," ",Input!J64),0)</f>
        <v>0</v>
      </c>
      <c r="C33" s="1103">
        <f>IF(Input!$F$26&gt;20,Input!$F$20,0)</f>
        <v>0</v>
      </c>
      <c r="D33" s="1104"/>
      <c r="E33" s="158">
        <f>IF(Input!$F$26&gt;19,19,0)</f>
        <v>0</v>
      </c>
      <c r="F33" s="171">
        <f>IF(Input!$F$26&gt;19,CONCATENATE(TEXT(Input!L61,"0.0")," ",Input!M61),0)</f>
        <v>0</v>
      </c>
      <c r="G33" s="172">
        <f>IF(Input!$F$26&gt;19,Input!K61,0)</f>
        <v>0</v>
      </c>
      <c r="H33" s="176"/>
      <c r="I33" s="177"/>
      <c r="J33" s="177"/>
      <c r="K33" s="177"/>
      <c r="L33" s="178"/>
    </row>
    <row r="34" spans="1:12" ht="12.75">
      <c r="A34" s="157">
        <f>IF(Input!$F$26&gt;21,22,0)</f>
        <v>0</v>
      </c>
      <c r="B34" s="179">
        <f>IF(Input!$F$26&gt;21,CONCATENATE(TEXT(Input!I66,"0.0")," ",Input!J66),0)</f>
        <v>0</v>
      </c>
      <c r="C34" s="1103">
        <f>IF(Input!$F$26&gt;21,Input!$F$20,0)</f>
        <v>0</v>
      </c>
      <c r="D34" s="1104"/>
      <c r="E34" s="158">
        <f>IF(Input!$F$26&gt;20,20,0)</f>
        <v>0</v>
      </c>
      <c r="F34" s="171">
        <f>IF(Input!$F$26&gt;20,CONCATENATE(TEXT(Input!L63,"0.0")," ",Input!M63),0)</f>
        <v>0</v>
      </c>
      <c r="G34" s="172">
        <f>IF(Input!$F$26&gt;20,Input!K63,0)</f>
        <v>0</v>
      </c>
      <c r="H34" s="176"/>
      <c r="I34" s="177"/>
      <c r="J34" s="177"/>
      <c r="K34" s="177"/>
      <c r="L34" s="178"/>
    </row>
    <row r="35" spans="1:12" ht="12.75">
      <c r="A35" s="157">
        <f>IF(Input!$F$26&gt;22,23,0)</f>
        <v>0</v>
      </c>
      <c r="B35" s="179">
        <f>IF(Input!$F$26&gt;22,CONCATENATE(TEXT(Input!I68,"0.0")," ",Input!J68),0)</f>
        <v>0</v>
      </c>
      <c r="C35" s="1103">
        <f>IF(Input!$F$26&gt;22,Input!$F$20,0)</f>
        <v>0</v>
      </c>
      <c r="D35" s="1104"/>
      <c r="E35" s="158">
        <f>IF(Input!$F$26&gt;21,21,0)</f>
        <v>0</v>
      </c>
      <c r="F35" s="171">
        <f>IF(Input!$F$26&gt;21,CONCATENATE(TEXT(Input!L65,"0.0")," ",Input!M65),0)</f>
        <v>0</v>
      </c>
      <c r="G35" s="172">
        <f>IF(Input!$F$26&gt;21,Input!K65,0)</f>
        <v>0</v>
      </c>
      <c r="H35" s="176"/>
      <c r="I35" s="177"/>
      <c r="J35" s="177"/>
      <c r="K35" s="177"/>
      <c r="L35" s="178"/>
    </row>
    <row r="36" spans="1:12" ht="12.75">
      <c r="A36" s="157">
        <f>IF(Input!$F$26&gt;23,24,0)</f>
        <v>0</v>
      </c>
      <c r="B36" s="179">
        <f>IF(Input!$F$26&gt;23,CONCATENATE(TEXT(Input!I70,"0.0")," ",Input!J70),0)</f>
        <v>0</v>
      </c>
      <c r="C36" s="1103">
        <f>IF(Input!$F$26&gt;23,Input!$F$20,0)</f>
        <v>0</v>
      </c>
      <c r="D36" s="1104"/>
      <c r="E36" s="158">
        <f>IF(Input!$F$26&gt;22,22,0)</f>
        <v>0</v>
      </c>
      <c r="F36" s="171">
        <f>IF(Input!$F$26&gt;22,CONCATENATE(TEXT(Input!L67,"0.0")," ",Input!M67),0)</f>
        <v>0</v>
      </c>
      <c r="G36" s="172">
        <f>IF(Input!$F$26&gt;22,Input!K67,0)</f>
        <v>0</v>
      </c>
      <c r="H36" s="176"/>
      <c r="I36" s="177"/>
      <c r="J36" s="177"/>
      <c r="K36" s="177"/>
      <c r="L36" s="178"/>
    </row>
    <row r="37" spans="1:12" ht="12.75">
      <c r="A37" s="157">
        <f>IF(Input!$F$26&gt;24,25,0)</f>
        <v>0</v>
      </c>
      <c r="B37" s="179">
        <f>IF(Input!$F$26&gt;24,CONCATENATE(TEXT(Input!I72,"0.0")," ",Input!J72),0)</f>
        <v>0</v>
      </c>
      <c r="C37" s="1103">
        <f>IF(Input!$F$26&gt;24,Input!$F$20,0)</f>
        <v>0</v>
      </c>
      <c r="D37" s="1104"/>
      <c r="E37" s="158">
        <f>IF(Input!$F$26&gt;23,23,0)</f>
        <v>0</v>
      </c>
      <c r="F37" s="171">
        <f>IF(Input!$F$26&gt;23,CONCATENATE(TEXT(Input!L69,"0.0")," ",Input!M69),0)</f>
        <v>0</v>
      </c>
      <c r="G37" s="172">
        <f>IF(Input!$F$26&gt;23,Input!K69,0)</f>
        <v>0</v>
      </c>
      <c r="H37" s="176"/>
      <c r="I37" s="177"/>
      <c r="J37" s="177"/>
      <c r="K37" s="177"/>
      <c r="L37" s="178"/>
    </row>
    <row r="38" spans="1:12" ht="12.75">
      <c r="A38" s="157">
        <f>IF(Input!$F$26&gt;25,26,0)</f>
        <v>0</v>
      </c>
      <c r="B38" s="179">
        <f>IF(Input!$F$26&gt;25,CONCATENATE(TEXT(Input!I74,"0.0")," ",Input!J74),0)</f>
        <v>0</v>
      </c>
      <c r="C38" s="1103">
        <f>IF(Input!$F$26&gt;25,Input!$F$20,0)</f>
        <v>0</v>
      </c>
      <c r="D38" s="1104"/>
      <c r="E38" s="158">
        <f>IF(Input!$F$26&gt;24,24,0)</f>
        <v>0</v>
      </c>
      <c r="F38" s="171">
        <f>IF(Input!$F$26&gt;24,CONCATENATE(TEXT(Input!L71,"0.0")," ",Input!M71),0)</f>
        <v>0</v>
      </c>
      <c r="G38" s="172">
        <f>IF(Input!$F$26&gt;24,Input!K71,0)</f>
        <v>0</v>
      </c>
      <c r="H38" s="176"/>
      <c r="I38" s="177"/>
      <c r="J38" s="177"/>
      <c r="K38" s="177"/>
      <c r="L38" s="178"/>
    </row>
    <row r="39" spans="1:12" ht="12.75">
      <c r="A39" s="157">
        <f>IF(Input!$F$26&gt;26,27,0)</f>
        <v>0</v>
      </c>
      <c r="B39" s="179">
        <f>IF(Input!$F$26&gt;26,CONCATENATE(TEXT(Input!I76,"0.0")," ",Input!J76),0)</f>
        <v>0</v>
      </c>
      <c r="C39" s="1103">
        <f>IF(Input!$F$26&gt;26,Input!$F$20,0)</f>
        <v>0</v>
      </c>
      <c r="D39" s="1104"/>
      <c r="E39" s="158">
        <f>IF(Input!$F$26&gt;25,25,0)</f>
        <v>0</v>
      </c>
      <c r="F39" s="171">
        <f>IF(Input!$F$26&gt;25,CONCATENATE(TEXT(Input!L73,"0.0")," ",Input!M73),0)</f>
        <v>0</v>
      </c>
      <c r="G39" s="172">
        <f>IF(Input!$F$26&gt;25,Input!K73,0)</f>
        <v>0</v>
      </c>
      <c r="H39" s="180"/>
      <c r="I39" s="181"/>
      <c r="J39" s="181"/>
      <c r="K39" s="181"/>
      <c r="L39" s="182"/>
    </row>
    <row r="40" spans="1:12" ht="12.75">
      <c r="A40" s="157">
        <f>IF(Input!$F$26&gt;27,28,0)</f>
        <v>0</v>
      </c>
      <c r="B40" s="179">
        <f>IF(Input!$F$26&gt;27,CONCATENATE(TEXT(Input!I78,"0.0")," ",Input!J78),0)</f>
        <v>0</v>
      </c>
      <c r="C40" s="1103">
        <f>IF(Input!$F$26&gt;27,Input!$F$20,0)</f>
        <v>0</v>
      </c>
      <c r="D40" s="1104"/>
      <c r="E40" s="158">
        <f>IF(Input!$F$26&gt;26,26,0)</f>
        <v>0</v>
      </c>
      <c r="F40" s="171">
        <f>IF(Input!$F$26&gt;26,CONCATENATE(TEXT(Input!L75,"0.0")," ",Input!M75),0)</f>
        <v>0</v>
      </c>
      <c r="G40" s="172">
        <f>IF(Input!$F$26&gt;26,Input!K75,0)</f>
        <v>0</v>
      </c>
      <c r="H40" s="1113" t="s">
        <v>2647</v>
      </c>
      <c r="I40" s="1065"/>
      <c r="J40" s="1130" t="str">
        <f>Input!F3</f>
        <v>FD04 069 0150 016-020</v>
      </c>
      <c r="K40" s="1130"/>
      <c r="L40" s="1130"/>
    </row>
    <row r="41" spans="1:12" ht="12.75">
      <c r="A41" s="157">
        <f>IF(Input!$F$26&gt;28,29,0)</f>
        <v>0</v>
      </c>
      <c r="B41" s="179">
        <f>IF(Input!$F$26&gt;28,CONCATENATE(TEXT(Input!I80,"0.0")," ",Input!J80),0)</f>
        <v>0</v>
      </c>
      <c r="C41" s="1103">
        <f>IF(Input!$F$26&gt;28,Input!$F$20,0)</f>
        <v>0</v>
      </c>
      <c r="D41" s="1104"/>
      <c r="E41" s="158">
        <f>IF(Input!$F$26&gt;27,27,0)</f>
        <v>0</v>
      </c>
      <c r="F41" s="171">
        <f>IF(Input!$F$26&gt;27,CONCATENATE(TEXT(Input!L77,"0.0")," ",Input!M77),0)</f>
        <v>0</v>
      </c>
      <c r="G41" s="172">
        <f>IF(Input!$F$26&gt;27,Input!K77,0)</f>
        <v>0</v>
      </c>
      <c r="H41" s="1113" t="s">
        <v>2648</v>
      </c>
      <c r="I41" s="1065"/>
      <c r="J41" s="1129" t="str">
        <f>Input!F4</f>
        <v>none</v>
      </c>
      <c r="K41" s="1129"/>
      <c r="L41" s="1129"/>
    </row>
    <row r="42" spans="1:12" ht="12.75">
      <c r="A42" s="157">
        <f>IF(Input!$F$26&gt;29,30,0)</f>
        <v>0</v>
      </c>
      <c r="B42" s="179">
        <f>IF(Input!$F$26&gt;29,CONCATENATE(TEXT(Input!I82,"0.0")," ",Input!J82),0)</f>
        <v>0</v>
      </c>
      <c r="C42" s="1103">
        <f>IF(Input!$F$26&gt;29,Input!$F$20,0)</f>
        <v>0</v>
      </c>
      <c r="D42" s="1104"/>
      <c r="E42" s="158">
        <f>IF(Input!$F$26&gt;28,28,0)</f>
        <v>0</v>
      </c>
      <c r="F42" s="171">
        <f>IF(Input!$F$26&gt;28,CONCATENATE(TEXT(Input!L79,"0.0")," ",Input!M79),0)</f>
        <v>0</v>
      </c>
      <c r="G42" s="172">
        <f>IF(Input!$F$26&gt;28,Input!K79,0)</f>
        <v>0</v>
      </c>
      <c r="H42" s="1113" t="s">
        <v>2649</v>
      </c>
      <c r="I42" s="1065"/>
      <c r="J42" s="1065"/>
      <c r="K42" s="1065"/>
      <c r="L42" s="1065"/>
    </row>
    <row r="43" spans="1:12" ht="13.5" thickBot="1">
      <c r="A43" s="164"/>
      <c r="B43" s="183"/>
      <c r="C43" s="1137"/>
      <c r="D43" s="1138"/>
      <c r="E43" s="165">
        <f>IF(Input!$F$26&gt;29,29,0)</f>
        <v>0</v>
      </c>
      <c r="F43" s="183">
        <f>IF(Input!$F$26&gt;29,CONCATENATE(TEXT(Input!L81,"0.0")," ",Input!M81),0)</f>
        <v>0</v>
      </c>
      <c r="G43" s="184">
        <f>IF(Input!$F$26&gt;29,Input!K81,0)</f>
        <v>0</v>
      </c>
      <c r="H43" s="1144" t="s">
        <v>2650</v>
      </c>
      <c r="I43" s="1099"/>
      <c r="J43" s="1099"/>
      <c r="K43" s="1099"/>
      <c r="L43" s="1099"/>
    </row>
    <row r="44" spans="1:12" ht="23.25" customHeight="1" thickTop="1">
      <c r="A44" s="1096" t="s">
        <v>2651</v>
      </c>
      <c r="B44" s="1102"/>
      <c r="C44" s="167" t="s">
        <v>2652</v>
      </c>
      <c r="D44" s="167" t="s">
        <v>2653</v>
      </c>
      <c r="E44" s="1106" t="s">
        <v>65</v>
      </c>
      <c r="F44" s="1107"/>
      <c r="G44" s="204" t="s">
        <v>66</v>
      </c>
      <c r="H44" s="1106" t="s">
        <v>67</v>
      </c>
      <c r="I44" s="1107"/>
      <c r="J44" s="1106" t="s">
        <v>68</v>
      </c>
      <c r="K44" s="1107"/>
      <c r="L44" s="203" t="s">
        <v>69</v>
      </c>
    </row>
    <row r="45" spans="1:12" ht="12.75">
      <c r="A45" s="1139">
        <f>Input!F11</f>
        <v>25546</v>
      </c>
      <c r="B45" s="1140"/>
      <c r="C45" s="185" t="s">
        <v>2654</v>
      </c>
      <c r="D45" s="158" t="str">
        <f>IF(A45,Input!$F$13,0)</f>
        <v>Simpson</v>
      </c>
      <c r="E45" s="1142">
        <f>Input!F8</f>
        <v>39887</v>
      </c>
      <c r="F45" s="1143"/>
      <c r="G45" s="159"/>
      <c r="H45" s="1064"/>
      <c r="I45" s="1141"/>
      <c r="J45" s="1064"/>
      <c r="K45" s="1141"/>
      <c r="L45" s="166"/>
    </row>
    <row r="46" spans="1:12" ht="13.5" thickBot="1">
      <c r="A46" s="1111"/>
      <c r="B46" s="1112"/>
      <c r="C46" s="186"/>
      <c r="D46" s="183"/>
      <c r="E46" s="1135"/>
      <c r="F46" s="1136"/>
      <c r="G46" s="187"/>
      <c r="H46" s="1098"/>
      <c r="I46" s="1110"/>
      <c r="J46" s="1098"/>
      <c r="K46" s="1110"/>
      <c r="L46" s="163"/>
    </row>
    <row r="47" spans="1:12" ht="13.5" thickTop="1">
      <c r="A47" s="1154" t="s">
        <v>2342</v>
      </c>
      <c r="B47" s="1154"/>
      <c r="C47" s="189" t="str">
        <f>Input!F13</f>
        <v>Simpson</v>
      </c>
      <c r="D47" s="151"/>
      <c r="E47" s="151"/>
      <c r="F47" s="151"/>
      <c r="G47" s="151"/>
      <c r="H47" s="151"/>
      <c r="I47" s="151"/>
      <c r="J47" s="151"/>
      <c r="K47" s="151"/>
      <c r="L47" s="151"/>
    </row>
    <row r="49" spans="1:9" ht="12.75">
      <c r="A49" s="12" t="s">
        <v>2655</v>
      </c>
      <c r="B49" s="12"/>
      <c r="C49" s="12"/>
      <c r="D49" s="12"/>
      <c r="E49" s="12"/>
      <c r="F49" s="12"/>
      <c r="G49" s="12" t="s">
        <v>2318</v>
      </c>
      <c r="H49" s="12"/>
      <c r="I49" s="12"/>
    </row>
    <row r="50" spans="1:9" ht="12.75">
      <c r="A50" s="12" t="s">
        <v>2656</v>
      </c>
      <c r="B50" s="12"/>
      <c r="C50" s="12"/>
      <c r="D50" s="12"/>
      <c r="E50" s="12"/>
      <c r="F50" s="12"/>
      <c r="G50" s="12" t="s">
        <v>2660</v>
      </c>
      <c r="H50" s="12"/>
      <c r="I50" s="12"/>
    </row>
    <row r="51" spans="1:9" ht="12.75">
      <c r="A51" s="12" t="s">
        <v>2657</v>
      </c>
      <c r="B51" s="12"/>
      <c r="C51" s="12"/>
      <c r="D51" s="12"/>
      <c r="E51" s="12"/>
      <c r="F51" s="12"/>
      <c r="G51" s="12" t="s">
        <v>2661</v>
      </c>
      <c r="H51" s="12"/>
      <c r="I51" s="12"/>
    </row>
    <row r="52" spans="1:7" ht="12.75">
      <c r="A52" s="12" t="s">
        <v>2316</v>
      </c>
      <c r="B52" s="12"/>
      <c r="C52" s="12"/>
      <c r="G52" s="12" t="s">
        <v>2662</v>
      </c>
    </row>
    <row r="53" spans="1:7" ht="12.75">
      <c r="A53" s="7" t="s">
        <v>2317</v>
      </c>
      <c r="B53" s="12"/>
      <c r="C53" s="12"/>
      <c r="G53" s="12" t="s">
        <v>2663</v>
      </c>
    </row>
    <row r="54" spans="1:7" ht="12.75">
      <c r="A54" s="12" t="s">
        <v>2658</v>
      </c>
      <c r="B54" s="12"/>
      <c r="C54" s="12"/>
      <c r="G54" s="12" t="s">
        <v>2664</v>
      </c>
    </row>
    <row r="55" spans="1:7" ht="12.75">
      <c r="A55" s="12" t="s">
        <v>2659</v>
      </c>
      <c r="B55" s="12"/>
      <c r="G55" s="12" t="s">
        <v>2343</v>
      </c>
    </row>
    <row r="57" spans="1:12" ht="12.75">
      <c r="A57" s="13" t="s">
        <v>2039</v>
      </c>
      <c r="B57" s="12"/>
      <c r="C57" s="12"/>
      <c r="D57" s="12"/>
      <c r="F57" s="12"/>
      <c r="G57" s="12"/>
      <c r="H57" s="12"/>
      <c r="J57" s="12"/>
      <c r="K57" s="12"/>
      <c r="L57" s="153" t="s">
        <v>2302</v>
      </c>
    </row>
    <row r="58" spans="1:12" ht="12.75">
      <c r="A58" s="13" t="s">
        <v>2041</v>
      </c>
      <c r="B58" s="12"/>
      <c r="C58" s="12"/>
      <c r="D58" s="12"/>
      <c r="E58" s="1160">
        <f>IF(C75="repair","Add to Existing Card",0)</f>
        <v>0</v>
      </c>
      <c r="F58" s="1160"/>
      <c r="G58" s="1160"/>
      <c r="H58" s="1160"/>
      <c r="I58" s="1160"/>
      <c r="J58" s="1160"/>
      <c r="K58" s="12"/>
      <c r="L58" s="154" t="s">
        <v>883</v>
      </c>
    </row>
    <row r="59" spans="1:12" ht="12.75">
      <c r="A59" s="13" t="s">
        <v>2383</v>
      </c>
      <c r="B59" s="12"/>
      <c r="C59" s="12"/>
      <c r="D59" s="12"/>
      <c r="E59" s="1160"/>
      <c r="F59" s="1160"/>
      <c r="G59" s="1160"/>
      <c r="H59" s="1160"/>
      <c r="I59" s="1160"/>
      <c r="J59" s="1160"/>
      <c r="K59" s="12"/>
      <c r="L59" s="12"/>
    </row>
    <row r="60" ht="12.75">
      <c r="A60" s="155" t="s">
        <v>2618</v>
      </c>
    </row>
    <row r="62" spans="1:12" ht="12.75">
      <c r="A62" s="1100" t="s">
        <v>64</v>
      </c>
      <c r="B62" s="1101"/>
      <c r="C62" s="156" t="s">
        <v>2303</v>
      </c>
      <c r="D62" s="156" t="s">
        <v>2304</v>
      </c>
      <c r="E62" s="1105" t="s">
        <v>2306</v>
      </c>
      <c r="F62" s="1100"/>
      <c r="G62" s="1100"/>
      <c r="H62" s="1101"/>
      <c r="I62" s="1105" t="s">
        <v>2308</v>
      </c>
      <c r="J62" s="1100"/>
      <c r="K62" s="1100"/>
      <c r="L62" s="1100"/>
    </row>
    <row r="63" spans="1:12" ht="12.75">
      <c r="A63" s="1114">
        <f>Input!$F$5</f>
        <v>8</v>
      </c>
      <c r="B63" s="1115"/>
      <c r="C63" s="158" t="str">
        <f>Input!$F$2</f>
        <v>Lincoln</v>
      </c>
      <c r="D63" s="159"/>
      <c r="E63" s="1149">
        <f>Input!$D$89</f>
        <v>0</v>
      </c>
      <c r="F63" s="1114"/>
      <c r="G63" s="1114"/>
      <c r="H63" s="1115"/>
      <c r="I63" s="1145"/>
      <c r="J63" s="1146"/>
      <c r="K63" s="1146"/>
      <c r="L63" s="1146"/>
    </row>
    <row r="64" spans="1:12" ht="12.75">
      <c r="A64" s="1065" t="s">
        <v>2309</v>
      </c>
      <c r="B64" s="1065"/>
      <c r="C64" s="1108">
        <f>Input!$D$90</f>
        <v>0</v>
      </c>
      <c r="D64" s="1108"/>
      <c r="E64" s="1108"/>
      <c r="F64" s="1108"/>
      <c r="G64" s="1108"/>
      <c r="H64" s="1116"/>
      <c r="I64" s="1064" t="s">
        <v>2310</v>
      </c>
      <c r="J64" s="1065"/>
      <c r="K64" s="1108">
        <f>Input!$D$91</f>
        <v>0</v>
      </c>
      <c r="L64" s="1108"/>
    </row>
    <row r="65" spans="1:12" ht="12.75">
      <c r="A65" s="1065" t="s">
        <v>2311</v>
      </c>
      <c r="B65" s="1065"/>
      <c r="C65" s="1119">
        <f>Input!$D$105</f>
        <v>0</v>
      </c>
      <c r="D65" s="1119"/>
      <c r="E65" s="1119"/>
      <c r="F65" s="1119"/>
      <c r="G65" s="1119"/>
      <c r="H65" s="1120"/>
      <c r="I65" s="1064" t="s">
        <v>2312</v>
      </c>
      <c r="J65" s="1065"/>
      <c r="K65" s="1108">
        <f>IF(Input!$D$93&gt;1,Input!$D$93,0)</f>
        <v>0</v>
      </c>
      <c r="L65" s="1108"/>
    </row>
    <row r="66" spans="1:12" ht="13.5" thickBot="1">
      <c r="A66" s="161" t="s">
        <v>2347</v>
      </c>
      <c r="B66" s="190">
        <f>Input!$D$94</f>
        <v>0</v>
      </c>
      <c r="C66" s="161" t="s">
        <v>2348</v>
      </c>
      <c r="D66" s="162"/>
      <c r="E66" s="1098" t="s">
        <v>2349</v>
      </c>
      <c r="F66" s="1099"/>
      <c r="G66" s="1111"/>
      <c r="H66" s="1112"/>
      <c r="I66" s="1098" t="s">
        <v>2350</v>
      </c>
      <c r="J66" s="1099"/>
      <c r="K66" s="1109" t="s">
        <v>2616</v>
      </c>
      <c r="L66" s="1109"/>
    </row>
    <row r="67" spans="1:12" ht="13.5" thickTop="1">
      <c r="A67" s="1123" t="s">
        <v>2623</v>
      </c>
      <c r="B67" s="1123"/>
      <c r="C67" s="1123"/>
      <c r="D67" s="1124"/>
      <c r="E67" s="1125" t="s">
        <v>2624</v>
      </c>
      <c r="F67" s="1123"/>
      <c r="G67" s="1126"/>
      <c r="H67" s="1131" t="s">
        <v>2035</v>
      </c>
      <c r="I67" s="1132"/>
      <c r="J67" s="1132"/>
      <c r="K67" s="1132"/>
      <c r="L67" s="1132"/>
    </row>
    <row r="68" spans="1:12" s="219" customFormat="1" ht="20.25">
      <c r="A68" s="223" t="s">
        <v>78</v>
      </c>
      <c r="B68" s="225" t="s">
        <v>79</v>
      </c>
      <c r="C68" s="1127" t="s">
        <v>80</v>
      </c>
      <c r="D68" s="1128"/>
      <c r="E68" s="223" t="s">
        <v>81</v>
      </c>
      <c r="F68" s="223" t="s">
        <v>82</v>
      </c>
      <c r="G68" s="226" t="s">
        <v>83</v>
      </c>
      <c r="H68" s="227" t="s">
        <v>84</v>
      </c>
      <c r="I68" s="227" t="s">
        <v>85</v>
      </c>
      <c r="J68" s="227" t="s">
        <v>86</v>
      </c>
      <c r="K68" s="227" t="s">
        <v>87</v>
      </c>
      <c r="L68" s="228" t="s">
        <v>88</v>
      </c>
    </row>
    <row r="69" spans="1:12" ht="12.75">
      <c r="A69" s="169"/>
      <c r="B69" s="169"/>
      <c r="C69" s="1121"/>
      <c r="D69" s="1122"/>
      <c r="E69" s="169"/>
      <c r="F69" s="169"/>
      <c r="G69" s="192"/>
      <c r="H69" s="158">
        <f>IF(Input!D87,"RCBC",0)</f>
        <v>0</v>
      </c>
      <c r="I69" s="158">
        <f>IF(Input!$D$87,Input!$D$95,0)</f>
        <v>0</v>
      </c>
      <c r="J69" s="158">
        <f>IF(Input!$D$87,CONCATENATE(Input!$D$96,"' x ",Input!$D$97,"'"),0)</f>
        <v>0</v>
      </c>
      <c r="K69" s="158">
        <f>IF(Input!$D$87&gt;0,CONCATENATE(Input!$D$98," ",Input!$S98),0)</f>
        <v>0</v>
      </c>
      <c r="L69" s="193">
        <f>IF(Input!$D$87&gt;0,CONCATENATE(Input!$D$103," ",Input!S103),0)</f>
        <v>0</v>
      </c>
    </row>
    <row r="70" spans="1:12" ht="12.75">
      <c r="A70" s="194"/>
      <c r="B70" s="195"/>
      <c r="C70" s="1121"/>
      <c r="D70" s="1122"/>
      <c r="E70" s="169"/>
      <c r="F70" s="196"/>
      <c r="G70" s="197"/>
      <c r="H70" s="1113" t="s">
        <v>2647</v>
      </c>
      <c r="I70" s="1065"/>
      <c r="J70" s="1130" t="str">
        <f>Input!$F$3</f>
        <v>FD04 069 0150 016-020</v>
      </c>
      <c r="K70" s="1130"/>
      <c r="L70" s="1130"/>
    </row>
    <row r="71" spans="1:12" ht="12.75">
      <c r="A71" s="194"/>
      <c r="B71" s="195"/>
      <c r="C71" s="1121"/>
      <c r="D71" s="1122"/>
      <c r="E71" s="169"/>
      <c r="F71" s="196"/>
      <c r="G71" s="197"/>
      <c r="H71" s="1113" t="s">
        <v>2648</v>
      </c>
      <c r="I71" s="1065"/>
      <c r="J71" s="1129" t="str">
        <f>Input!$F$4</f>
        <v>none</v>
      </c>
      <c r="K71" s="1129"/>
      <c r="L71" s="1129"/>
    </row>
    <row r="72" spans="1:12" ht="12.75">
      <c r="A72" s="194"/>
      <c r="B72" s="195"/>
      <c r="C72" s="1121"/>
      <c r="D72" s="1122"/>
      <c r="E72" s="169"/>
      <c r="F72" s="196"/>
      <c r="G72" s="197"/>
      <c r="H72" s="1113" t="s">
        <v>2649</v>
      </c>
      <c r="I72" s="1065"/>
      <c r="J72" s="1065"/>
      <c r="K72" s="1065"/>
      <c r="L72" s="1065"/>
    </row>
    <row r="73" spans="1:12" ht="13.5" thickBot="1">
      <c r="A73" s="198"/>
      <c r="B73" s="199"/>
      <c r="C73" s="1117"/>
      <c r="D73" s="1118"/>
      <c r="E73" s="200"/>
      <c r="F73" s="199"/>
      <c r="G73" s="201"/>
      <c r="H73" s="1144" t="s">
        <v>2650</v>
      </c>
      <c r="I73" s="1099"/>
      <c r="J73" s="1099"/>
      <c r="K73" s="1099"/>
      <c r="L73" s="1099"/>
    </row>
    <row r="74" spans="1:12" ht="21" thickTop="1">
      <c r="A74" s="1096" t="s">
        <v>2651</v>
      </c>
      <c r="B74" s="1102"/>
      <c r="C74" s="167" t="s">
        <v>2652</v>
      </c>
      <c r="D74" s="167" t="s">
        <v>2653</v>
      </c>
      <c r="E74" s="1106" t="s">
        <v>65</v>
      </c>
      <c r="F74" s="1107"/>
      <c r="G74" s="204" t="s">
        <v>66</v>
      </c>
      <c r="H74" s="1106" t="s">
        <v>67</v>
      </c>
      <c r="I74" s="1107"/>
      <c r="J74" s="1106" t="s">
        <v>68</v>
      </c>
      <c r="K74" s="1107"/>
      <c r="L74" s="203" t="s">
        <v>69</v>
      </c>
    </row>
    <row r="75" spans="1:12" ht="13.5" thickBot="1">
      <c r="A75" s="1111">
        <f>IF(Input!$D$87,Input!$D$87,0)</f>
        <v>0</v>
      </c>
      <c r="B75" s="1112"/>
      <c r="C75" s="202" t="s">
        <v>2654</v>
      </c>
      <c r="D75" s="165">
        <f>IF(A75,Input!$D$88,0)</f>
        <v>0</v>
      </c>
      <c r="E75" s="1150">
        <f>Input!$F$8</f>
        <v>39887</v>
      </c>
      <c r="F75" s="1151"/>
      <c r="G75" s="188"/>
      <c r="H75" s="1098"/>
      <c r="I75" s="1110"/>
      <c r="J75" s="1098"/>
      <c r="K75" s="1110"/>
      <c r="L75" s="163"/>
    </row>
    <row r="76" spans="1:3" ht="13.5" thickTop="1">
      <c r="A76" s="1154" t="s">
        <v>2342</v>
      </c>
      <c r="B76" s="1154"/>
      <c r="C76" s="189">
        <f>IF(A75,Input!$D$88,0)</f>
        <v>0</v>
      </c>
    </row>
    <row r="78" spans="1:9" ht="12.75">
      <c r="A78" s="12" t="s">
        <v>2655</v>
      </c>
      <c r="B78" s="12"/>
      <c r="C78" s="12"/>
      <c r="D78" s="12"/>
      <c r="E78" s="12"/>
      <c r="F78" s="12"/>
      <c r="G78" s="12" t="s">
        <v>2318</v>
      </c>
      <c r="H78" s="12"/>
      <c r="I78" s="12"/>
    </row>
    <row r="79" spans="1:9" ht="12.75">
      <c r="A79" s="12" t="s">
        <v>2656</v>
      </c>
      <c r="B79" s="12"/>
      <c r="C79" s="12"/>
      <c r="D79" s="12"/>
      <c r="E79" s="12"/>
      <c r="F79" s="12"/>
      <c r="G79" s="12" t="s">
        <v>2660</v>
      </c>
      <c r="H79" s="12"/>
      <c r="I79" s="12"/>
    </row>
    <row r="80" spans="1:9" ht="12.75">
      <c r="A80" s="12" t="s">
        <v>2657</v>
      </c>
      <c r="B80" s="12"/>
      <c r="C80" s="12"/>
      <c r="D80" s="12"/>
      <c r="E80" s="12"/>
      <c r="F80" s="12"/>
      <c r="G80" s="12" t="s">
        <v>2661</v>
      </c>
      <c r="H80" s="12"/>
      <c r="I80" s="12"/>
    </row>
    <row r="81" spans="1:7" ht="12.75">
      <c r="A81" s="12" t="s">
        <v>2316</v>
      </c>
      <c r="B81" s="12"/>
      <c r="C81" s="12"/>
      <c r="G81" s="12" t="s">
        <v>2662</v>
      </c>
    </row>
    <row r="82" spans="1:7" ht="12.75">
      <c r="A82" s="7" t="s">
        <v>2317</v>
      </c>
      <c r="B82" s="12"/>
      <c r="C82" s="12"/>
      <c r="G82" s="12" t="s">
        <v>2663</v>
      </c>
    </row>
    <row r="83" spans="1:7" ht="12.75">
      <c r="A83" s="12" t="s">
        <v>2658</v>
      </c>
      <c r="B83" s="12"/>
      <c r="C83" s="12"/>
      <c r="G83" s="12" t="s">
        <v>2664</v>
      </c>
    </row>
    <row r="84" spans="1:7" ht="12.75">
      <c r="A84" s="12" t="s">
        <v>2659</v>
      </c>
      <c r="B84" s="12"/>
      <c r="G84" s="12" t="s">
        <v>2343</v>
      </c>
    </row>
    <row r="86" spans="1:12" ht="12.75">
      <c r="A86" s="13" t="s">
        <v>2039</v>
      </c>
      <c r="B86" s="12"/>
      <c r="C86" s="12"/>
      <c r="D86" s="12"/>
      <c r="F86" s="12"/>
      <c r="G86" s="12"/>
      <c r="H86" s="12"/>
      <c r="J86" s="12"/>
      <c r="K86" s="12"/>
      <c r="L86" s="153" t="s">
        <v>2302</v>
      </c>
    </row>
    <row r="87" spans="1:12" ht="12.75">
      <c r="A87" s="13" t="s">
        <v>2041</v>
      </c>
      <c r="B87" s="12"/>
      <c r="C87" s="12"/>
      <c r="D87" s="12"/>
      <c r="E87" s="1160">
        <f>IF(C104="repair","Add to Existing Card",0)</f>
        <v>0</v>
      </c>
      <c r="F87" s="1160"/>
      <c r="G87" s="1160"/>
      <c r="H87" s="1160"/>
      <c r="I87" s="1160"/>
      <c r="J87" s="1160"/>
      <c r="K87" s="12"/>
      <c r="L87" s="154" t="s">
        <v>883</v>
      </c>
    </row>
    <row r="88" spans="1:12" ht="12.75">
      <c r="A88" s="13" t="s">
        <v>2383</v>
      </c>
      <c r="B88" s="12"/>
      <c r="C88" s="12"/>
      <c r="D88" s="12"/>
      <c r="E88" s="1160"/>
      <c r="F88" s="1160"/>
      <c r="G88" s="1160"/>
      <c r="H88" s="1160"/>
      <c r="I88" s="1160"/>
      <c r="J88" s="1160"/>
      <c r="K88" s="12"/>
      <c r="L88" s="12"/>
    </row>
    <row r="89" ht="12.75">
      <c r="A89" s="155" t="s">
        <v>2618</v>
      </c>
    </row>
    <row r="91" spans="1:12" ht="12.75">
      <c r="A91" s="1100" t="s">
        <v>64</v>
      </c>
      <c r="B91" s="1101"/>
      <c r="C91" s="156" t="s">
        <v>2303</v>
      </c>
      <c r="D91" s="156" t="s">
        <v>2304</v>
      </c>
      <c r="E91" s="1105" t="s">
        <v>2306</v>
      </c>
      <c r="F91" s="1100"/>
      <c r="G91" s="1100"/>
      <c r="H91" s="1101"/>
      <c r="I91" s="1105" t="s">
        <v>2308</v>
      </c>
      <c r="J91" s="1100"/>
      <c r="K91" s="1100"/>
      <c r="L91" s="1100"/>
    </row>
    <row r="92" spans="1:12" ht="12.75">
      <c r="A92" s="1114">
        <f>Input!$F$5</f>
        <v>8</v>
      </c>
      <c r="B92" s="1115"/>
      <c r="C92" s="158" t="str">
        <f>Input!$F$2</f>
        <v>Lincoln</v>
      </c>
      <c r="D92" s="159"/>
      <c r="E92" s="1149">
        <f>Input!$G$89</f>
        <v>0</v>
      </c>
      <c r="F92" s="1114"/>
      <c r="G92" s="1114"/>
      <c r="H92" s="1115"/>
      <c r="I92" s="1147"/>
      <c r="J92" s="1148"/>
      <c r="K92" s="1148"/>
      <c r="L92" s="1148"/>
    </row>
    <row r="93" spans="1:12" ht="12.75">
      <c r="A93" s="1065" t="s">
        <v>2309</v>
      </c>
      <c r="B93" s="1065"/>
      <c r="C93" s="1108">
        <f>Input!$G$90</f>
        <v>0</v>
      </c>
      <c r="D93" s="1108"/>
      <c r="E93" s="1108"/>
      <c r="F93" s="1108"/>
      <c r="G93" s="1108"/>
      <c r="H93" s="1116"/>
      <c r="I93" s="1064" t="s">
        <v>2310</v>
      </c>
      <c r="J93" s="1065"/>
      <c r="K93" s="1108">
        <f>Input!$G$91</f>
        <v>0</v>
      </c>
      <c r="L93" s="1108"/>
    </row>
    <row r="94" spans="1:12" ht="12.75">
      <c r="A94" s="1065" t="s">
        <v>2311</v>
      </c>
      <c r="B94" s="1065"/>
      <c r="C94" s="1108">
        <f>Input!$G$105</f>
        <v>0</v>
      </c>
      <c r="D94" s="1108"/>
      <c r="E94" s="1108"/>
      <c r="F94" s="1108"/>
      <c r="G94" s="1108"/>
      <c r="H94" s="1116"/>
      <c r="I94" s="1064" t="s">
        <v>2312</v>
      </c>
      <c r="J94" s="1065"/>
      <c r="K94" s="1108">
        <f>IF(Input!G93&gt;1,Input!G93,0)</f>
        <v>0</v>
      </c>
      <c r="L94" s="1108"/>
    </row>
    <row r="95" spans="1:12" ht="13.5" thickBot="1">
      <c r="A95" s="161" t="s">
        <v>2347</v>
      </c>
      <c r="B95" s="190">
        <f>Input!$G$94</f>
        <v>0</v>
      </c>
      <c r="C95" s="161" t="s">
        <v>2348</v>
      </c>
      <c r="D95" s="191"/>
      <c r="E95" s="1098" t="s">
        <v>2349</v>
      </c>
      <c r="F95" s="1099"/>
      <c r="G95" s="1111"/>
      <c r="H95" s="1112"/>
      <c r="I95" s="1098" t="s">
        <v>2350</v>
      </c>
      <c r="J95" s="1099"/>
      <c r="K95" s="1109" t="s">
        <v>2616</v>
      </c>
      <c r="L95" s="1109"/>
    </row>
    <row r="96" spans="1:12" ht="13.5" thickTop="1">
      <c r="A96" s="1123" t="s">
        <v>2623</v>
      </c>
      <c r="B96" s="1123"/>
      <c r="C96" s="1123"/>
      <c r="D96" s="1124"/>
      <c r="E96" s="1125" t="s">
        <v>2624</v>
      </c>
      <c r="F96" s="1123"/>
      <c r="G96" s="1126"/>
      <c r="H96" s="1131" t="s">
        <v>2035</v>
      </c>
      <c r="I96" s="1132"/>
      <c r="J96" s="1132"/>
      <c r="K96" s="1132"/>
      <c r="L96" s="1132"/>
    </row>
    <row r="97" spans="1:12" s="219" customFormat="1" ht="20.25">
      <c r="A97" s="223" t="s">
        <v>78</v>
      </c>
      <c r="B97" s="225" t="s">
        <v>79</v>
      </c>
      <c r="C97" s="1127" t="s">
        <v>80</v>
      </c>
      <c r="D97" s="1128"/>
      <c r="E97" s="223" t="s">
        <v>81</v>
      </c>
      <c r="F97" s="223" t="s">
        <v>82</v>
      </c>
      <c r="G97" s="226" t="s">
        <v>83</v>
      </c>
      <c r="H97" s="227" t="s">
        <v>84</v>
      </c>
      <c r="I97" s="227" t="s">
        <v>85</v>
      </c>
      <c r="J97" s="227" t="s">
        <v>86</v>
      </c>
      <c r="K97" s="227" t="s">
        <v>87</v>
      </c>
      <c r="L97" s="228" t="s">
        <v>88</v>
      </c>
    </row>
    <row r="98" spans="1:12" ht="12.75">
      <c r="A98" s="169"/>
      <c r="B98" s="169"/>
      <c r="C98" s="1121"/>
      <c r="D98" s="1122"/>
      <c r="E98" s="169"/>
      <c r="F98" s="169"/>
      <c r="G98" s="192"/>
      <c r="H98" s="158">
        <f>IF(Input!G87,"RCBC",0)</f>
        <v>0</v>
      </c>
      <c r="I98" s="158">
        <f>IF(Input!G87,Input!G95,0)</f>
        <v>0</v>
      </c>
      <c r="J98" s="158">
        <f>IF(Input!G87,CONCATENATE(Input!G96,"' x ",Input!G97,"'"),0)</f>
        <v>0</v>
      </c>
      <c r="K98" s="158">
        <f>IF(Input!$G$87&gt;1,CONCATENATE(Input!$G$98," ",Input!S98),0)</f>
        <v>0</v>
      </c>
      <c r="L98" s="193">
        <f>IF(Input!$G$87&gt;1,CONCATENATE(Input!$G$103," ",Input!S103),0)</f>
        <v>0</v>
      </c>
    </row>
    <row r="99" spans="1:12" ht="12.75">
      <c r="A99" s="194"/>
      <c r="B99" s="195"/>
      <c r="C99" s="1121"/>
      <c r="D99" s="1122"/>
      <c r="E99" s="169"/>
      <c r="F99" s="196"/>
      <c r="G99" s="197"/>
      <c r="H99" s="1113" t="s">
        <v>2647</v>
      </c>
      <c r="I99" s="1065"/>
      <c r="J99" s="1130" t="str">
        <f>Input!$F$3</f>
        <v>FD04 069 0150 016-020</v>
      </c>
      <c r="K99" s="1130"/>
      <c r="L99" s="1130"/>
    </row>
    <row r="100" spans="1:12" ht="12.75">
      <c r="A100" s="194"/>
      <c r="B100" s="195"/>
      <c r="C100" s="1121"/>
      <c r="D100" s="1122"/>
      <c r="E100" s="169"/>
      <c r="F100" s="196"/>
      <c r="G100" s="197"/>
      <c r="H100" s="1113" t="s">
        <v>2648</v>
      </c>
      <c r="I100" s="1065"/>
      <c r="J100" s="1129" t="str">
        <f>Input!$F$4</f>
        <v>none</v>
      </c>
      <c r="K100" s="1129"/>
      <c r="L100" s="1129"/>
    </row>
    <row r="101" spans="1:12" ht="12.75">
      <c r="A101" s="194"/>
      <c r="B101" s="195"/>
      <c r="C101" s="1121"/>
      <c r="D101" s="1122"/>
      <c r="E101" s="169"/>
      <c r="F101" s="196"/>
      <c r="G101" s="197"/>
      <c r="H101" s="1113" t="s">
        <v>2649</v>
      </c>
      <c r="I101" s="1065"/>
      <c r="J101" s="1065"/>
      <c r="K101" s="1065"/>
      <c r="L101" s="1065"/>
    </row>
    <row r="102" spans="1:12" ht="13.5" thickBot="1">
      <c r="A102" s="198"/>
      <c r="B102" s="199"/>
      <c r="C102" s="1117"/>
      <c r="D102" s="1118"/>
      <c r="E102" s="200"/>
      <c r="F102" s="199"/>
      <c r="G102" s="201"/>
      <c r="H102" s="1144" t="s">
        <v>2650</v>
      </c>
      <c r="I102" s="1099"/>
      <c r="J102" s="1099"/>
      <c r="K102" s="1099"/>
      <c r="L102" s="1099"/>
    </row>
    <row r="103" spans="1:12" ht="21" thickTop="1">
      <c r="A103" s="1096" t="s">
        <v>2651</v>
      </c>
      <c r="B103" s="1102"/>
      <c r="C103" s="167" t="s">
        <v>2652</v>
      </c>
      <c r="D103" s="167" t="s">
        <v>2653</v>
      </c>
      <c r="E103" s="1106" t="s">
        <v>65</v>
      </c>
      <c r="F103" s="1107"/>
      <c r="G103" s="204" t="s">
        <v>66</v>
      </c>
      <c r="H103" s="1106" t="s">
        <v>67</v>
      </c>
      <c r="I103" s="1107"/>
      <c r="J103" s="1106" t="s">
        <v>68</v>
      </c>
      <c r="K103" s="1107"/>
      <c r="L103" s="203" t="s">
        <v>69</v>
      </c>
    </row>
    <row r="104" spans="1:12" ht="13.5" thickBot="1">
      <c r="A104" s="1111">
        <f>IF(Input!G87,Input!G87,0)</f>
        <v>0</v>
      </c>
      <c r="B104" s="1112"/>
      <c r="C104" s="202" t="s">
        <v>2654</v>
      </c>
      <c r="D104" s="165">
        <f>IF(A104,Input!$G$88,0)</f>
        <v>0</v>
      </c>
      <c r="E104" s="1150">
        <f>Input!$F$8</f>
        <v>39887</v>
      </c>
      <c r="F104" s="1151"/>
      <c r="G104" s="188"/>
      <c r="H104" s="1098"/>
      <c r="I104" s="1110"/>
      <c r="J104" s="1098"/>
      <c r="K104" s="1110"/>
      <c r="L104" s="163"/>
    </row>
    <row r="105" spans="1:3" ht="13.5" thickTop="1">
      <c r="A105" s="12" t="s">
        <v>2342</v>
      </c>
      <c r="B105" s="12"/>
      <c r="C105" s="189">
        <f>IF(A104,Input!$G$88,0)</f>
        <v>0</v>
      </c>
    </row>
    <row r="107" spans="1:9" ht="12.75">
      <c r="A107" s="12" t="s">
        <v>2655</v>
      </c>
      <c r="B107" s="12"/>
      <c r="C107" s="12"/>
      <c r="D107" s="12"/>
      <c r="E107" s="12"/>
      <c r="F107" s="12"/>
      <c r="G107" s="12" t="s">
        <v>2318</v>
      </c>
      <c r="H107" s="12"/>
      <c r="I107" s="12"/>
    </row>
    <row r="108" spans="1:9" ht="12.75">
      <c r="A108" s="12" t="s">
        <v>2656</v>
      </c>
      <c r="B108" s="12"/>
      <c r="C108" s="12"/>
      <c r="D108" s="12"/>
      <c r="E108" s="12"/>
      <c r="F108" s="12"/>
      <c r="G108" s="12" t="s">
        <v>2660</v>
      </c>
      <c r="H108" s="12"/>
      <c r="I108" s="12"/>
    </row>
    <row r="109" spans="1:9" ht="12.75">
      <c r="A109" s="12" t="s">
        <v>2657</v>
      </c>
      <c r="B109" s="12"/>
      <c r="C109" s="12"/>
      <c r="D109" s="12"/>
      <c r="E109" s="12"/>
      <c r="F109" s="12"/>
      <c r="G109" s="12" t="s">
        <v>2661</v>
      </c>
      <c r="H109" s="12"/>
      <c r="I109" s="12"/>
    </row>
    <row r="110" spans="1:7" ht="12.75">
      <c r="A110" s="12" t="s">
        <v>2316</v>
      </c>
      <c r="B110" s="12"/>
      <c r="C110" s="12"/>
      <c r="G110" s="12" t="s">
        <v>2662</v>
      </c>
    </row>
    <row r="111" spans="1:7" ht="12.75">
      <c r="A111" s="7" t="s">
        <v>2317</v>
      </c>
      <c r="B111" s="12"/>
      <c r="C111" s="12"/>
      <c r="G111" s="12" t="s">
        <v>2663</v>
      </c>
    </row>
    <row r="112" spans="1:7" ht="12.75">
      <c r="A112" s="12" t="s">
        <v>2658</v>
      </c>
      <c r="B112" s="12"/>
      <c r="C112" s="12"/>
      <c r="G112" s="12" t="s">
        <v>2664</v>
      </c>
    </row>
    <row r="113" spans="1:7" ht="12.75">
      <c r="A113" s="12" t="s">
        <v>2659</v>
      </c>
      <c r="B113" s="12"/>
      <c r="G113" s="12" t="s">
        <v>2343</v>
      </c>
    </row>
    <row r="114" spans="1:12" ht="12.75">
      <c r="A114" s="4"/>
      <c r="B114" s="4"/>
      <c r="C114" s="4"/>
      <c r="D114" s="4"/>
      <c r="E114" s="4"/>
      <c r="F114" s="4"/>
      <c r="G114" s="4"/>
      <c r="H114" s="4"/>
      <c r="I114" s="4"/>
      <c r="J114" s="4"/>
      <c r="K114" s="4"/>
      <c r="L114" s="4"/>
    </row>
    <row r="115" spans="1:12" ht="12.75">
      <c r="A115" s="13" t="s">
        <v>2039</v>
      </c>
      <c r="B115" s="12"/>
      <c r="C115" s="12"/>
      <c r="D115" s="12"/>
      <c r="F115" s="12"/>
      <c r="G115" s="12"/>
      <c r="H115" s="12"/>
      <c r="J115" s="12"/>
      <c r="K115" s="12"/>
      <c r="L115" s="153" t="s">
        <v>2302</v>
      </c>
    </row>
    <row r="116" spans="1:12" ht="12.75">
      <c r="A116" s="13" t="s">
        <v>2041</v>
      </c>
      <c r="B116" s="12"/>
      <c r="C116" s="12"/>
      <c r="D116" s="12"/>
      <c r="E116" s="1160">
        <f>IF(C133="repair","Add to Existing Card",0)</f>
        <v>0</v>
      </c>
      <c r="F116" s="1160"/>
      <c r="G116" s="1160"/>
      <c r="H116" s="1160"/>
      <c r="I116" s="1160"/>
      <c r="J116" s="1160"/>
      <c r="K116" s="12"/>
      <c r="L116" s="154" t="s">
        <v>883</v>
      </c>
    </row>
    <row r="117" spans="1:12" ht="12.75">
      <c r="A117" s="13" t="s">
        <v>2383</v>
      </c>
      <c r="B117" s="12"/>
      <c r="C117" s="12"/>
      <c r="D117" s="12"/>
      <c r="E117" s="1160"/>
      <c r="F117" s="1160"/>
      <c r="G117" s="1160"/>
      <c r="H117" s="1160"/>
      <c r="I117" s="1160"/>
      <c r="J117" s="1160"/>
      <c r="K117" s="12"/>
      <c r="L117" s="12"/>
    </row>
    <row r="118" ht="12.75">
      <c r="A118" s="155" t="s">
        <v>2618</v>
      </c>
    </row>
    <row r="120" spans="1:12" ht="12.75">
      <c r="A120" s="1100" t="s">
        <v>64</v>
      </c>
      <c r="B120" s="1101"/>
      <c r="C120" s="156" t="s">
        <v>2303</v>
      </c>
      <c r="D120" s="156" t="s">
        <v>2304</v>
      </c>
      <c r="E120" s="1105" t="s">
        <v>2306</v>
      </c>
      <c r="F120" s="1100"/>
      <c r="G120" s="1100"/>
      <c r="H120" s="1101"/>
      <c r="I120" s="1105" t="s">
        <v>2308</v>
      </c>
      <c r="J120" s="1100"/>
      <c r="K120" s="1100"/>
      <c r="L120" s="1100"/>
    </row>
    <row r="121" spans="1:12" ht="12.75">
      <c r="A121" s="1114">
        <f>Input!$F$5</f>
        <v>8</v>
      </c>
      <c r="B121" s="1115"/>
      <c r="C121" s="158" t="str">
        <f>Input!$F$2</f>
        <v>Lincoln</v>
      </c>
      <c r="D121" s="159"/>
      <c r="E121" s="1149">
        <f>Input!$J$89</f>
        <v>0</v>
      </c>
      <c r="F121" s="1114"/>
      <c r="G121" s="1114"/>
      <c r="H121" s="1115"/>
      <c r="I121" s="1147"/>
      <c r="J121" s="1148"/>
      <c r="K121" s="1148"/>
      <c r="L121" s="1148"/>
    </row>
    <row r="122" spans="1:12" ht="12.75">
      <c r="A122" s="1065" t="s">
        <v>2309</v>
      </c>
      <c r="B122" s="1065"/>
      <c r="C122" s="1108">
        <f>Input!$J$90</f>
        <v>0</v>
      </c>
      <c r="D122" s="1108"/>
      <c r="E122" s="1108"/>
      <c r="F122" s="1108"/>
      <c r="G122" s="1108"/>
      <c r="H122" s="1116"/>
      <c r="I122" s="1064" t="s">
        <v>2310</v>
      </c>
      <c r="J122" s="1065"/>
      <c r="K122" s="1108">
        <f>Input!$J$91</f>
        <v>0</v>
      </c>
      <c r="L122" s="1108"/>
    </row>
    <row r="123" spans="1:12" ht="12.75">
      <c r="A123" s="1065" t="s">
        <v>2311</v>
      </c>
      <c r="B123" s="1065"/>
      <c r="C123" s="1119">
        <f>Input!$J$105</f>
        <v>0</v>
      </c>
      <c r="D123" s="1119"/>
      <c r="E123" s="1119"/>
      <c r="F123" s="1119"/>
      <c r="G123" s="1119"/>
      <c r="H123" s="1120"/>
      <c r="I123" s="1064" t="s">
        <v>2312</v>
      </c>
      <c r="J123" s="1065"/>
      <c r="K123" s="1108">
        <f>IF(Input!J93&gt;1,Input!J93,0)</f>
        <v>0</v>
      </c>
      <c r="L123" s="1108"/>
    </row>
    <row r="124" spans="1:12" ht="13.5" thickBot="1">
      <c r="A124" s="161" t="s">
        <v>2347</v>
      </c>
      <c r="B124" s="190">
        <f>Input!$J$94</f>
        <v>0</v>
      </c>
      <c r="C124" s="161" t="s">
        <v>2348</v>
      </c>
      <c r="D124" s="162"/>
      <c r="E124" s="1098" t="s">
        <v>2349</v>
      </c>
      <c r="F124" s="1099"/>
      <c r="G124" s="1111"/>
      <c r="H124" s="1112"/>
      <c r="I124" s="1098" t="s">
        <v>2350</v>
      </c>
      <c r="J124" s="1099"/>
      <c r="K124" s="1109" t="s">
        <v>2616</v>
      </c>
      <c r="L124" s="1109"/>
    </row>
    <row r="125" spans="1:12" ht="13.5" thickTop="1">
      <c r="A125" s="1123" t="s">
        <v>2623</v>
      </c>
      <c r="B125" s="1123"/>
      <c r="C125" s="1123"/>
      <c r="D125" s="1124"/>
      <c r="E125" s="1125" t="s">
        <v>2624</v>
      </c>
      <c r="F125" s="1123"/>
      <c r="G125" s="1126"/>
      <c r="H125" s="1131" t="s">
        <v>2035</v>
      </c>
      <c r="I125" s="1132"/>
      <c r="J125" s="1132"/>
      <c r="K125" s="1132"/>
      <c r="L125" s="1132"/>
    </row>
    <row r="126" spans="1:12" s="219" customFormat="1" ht="20.25">
      <c r="A126" s="223" t="s">
        <v>78</v>
      </c>
      <c r="B126" s="225" t="s">
        <v>79</v>
      </c>
      <c r="C126" s="1127" t="s">
        <v>80</v>
      </c>
      <c r="D126" s="1128"/>
      <c r="E126" s="223" t="s">
        <v>81</v>
      </c>
      <c r="F126" s="223" t="s">
        <v>82</v>
      </c>
      <c r="G126" s="226" t="s">
        <v>83</v>
      </c>
      <c r="H126" s="227" t="s">
        <v>84</v>
      </c>
      <c r="I126" s="227" t="s">
        <v>85</v>
      </c>
      <c r="J126" s="227" t="s">
        <v>86</v>
      </c>
      <c r="K126" s="227" t="s">
        <v>87</v>
      </c>
      <c r="L126" s="228" t="s">
        <v>88</v>
      </c>
    </row>
    <row r="127" spans="1:12" ht="12.75">
      <c r="A127" s="169"/>
      <c r="B127" s="169"/>
      <c r="C127" s="1121"/>
      <c r="D127" s="1122"/>
      <c r="E127" s="169"/>
      <c r="F127" s="169" t="str">
        <f>IF(Input!$F$26&gt;0,CONCATENATE(Input!G182," ",Input!H182),0)</f>
        <v> </v>
      </c>
      <c r="G127" s="192"/>
      <c r="H127" s="158">
        <f>IF(Input!J87,"RCBC",0)</f>
        <v>0</v>
      </c>
      <c r="I127" s="158">
        <f>IF(Input!J87,Input!J95,0)</f>
        <v>0</v>
      </c>
      <c r="J127" s="158">
        <f>IF(Input!J87,CONCATENATE(Input!J96,"' x ",Input!J97,"'"),0)</f>
        <v>0</v>
      </c>
      <c r="K127" s="158">
        <f>IF(Input!J87&gt;1,CONCATENATE(Input!J98," ",Input!S98),0)</f>
        <v>0</v>
      </c>
      <c r="L127" s="193">
        <f>IF(Input!J87&gt;1,CONCATENATE(Input!J103," ",Input!S103),0)</f>
        <v>0</v>
      </c>
    </row>
    <row r="128" spans="1:12" ht="12.75">
      <c r="A128" s="194"/>
      <c r="B128" s="195"/>
      <c r="C128" s="1121"/>
      <c r="D128" s="1122"/>
      <c r="E128" s="169"/>
      <c r="F128" s="196"/>
      <c r="G128" s="197"/>
      <c r="H128" s="1113" t="s">
        <v>2647</v>
      </c>
      <c r="I128" s="1065"/>
      <c r="J128" s="1130" t="str">
        <f>Input!$F$3</f>
        <v>FD04 069 0150 016-020</v>
      </c>
      <c r="K128" s="1130"/>
      <c r="L128" s="1130"/>
    </row>
    <row r="129" spans="1:12" ht="12.75">
      <c r="A129" s="194"/>
      <c r="B129" s="195"/>
      <c r="C129" s="1121"/>
      <c r="D129" s="1122"/>
      <c r="E129" s="169"/>
      <c r="F129" s="196"/>
      <c r="G129" s="197"/>
      <c r="H129" s="1113" t="s">
        <v>2648</v>
      </c>
      <c r="I129" s="1065"/>
      <c r="J129" s="1129" t="str">
        <f>Input!$F$4</f>
        <v>none</v>
      </c>
      <c r="K129" s="1129"/>
      <c r="L129" s="1129"/>
    </row>
    <row r="130" spans="1:12" ht="12.75">
      <c r="A130" s="194"/>
      <c r="B130" s="195"/>
      <c r="C130" s="1121"/>
      <c r="D130" s="1122"/>
      <c r="E130" s="169"/>
      <c r="F130" s="196"/>
      <c r="G130" s="197"/>
      <c r="H130" s="1113" t="s">
        <v>2649</v>
      </c>
      <c r="I130" s="1065"/>
      <c r="J130" s="1065"/>
      <c r="K130" s="1065"/>
      <c r="L130" s="1065"/>
    </row>
    <row r="131" spans="1:12" ht="13.5" thickBot="1">
      <c r="A131" s="198"/>
      <c r="B131" s="199"/>
      <c r="C131" s="1117"/>
      <c r="D131" s="1118"/>
      <c r="E131" s="200"/>
      <c r="F131" s="199"/>
      <c r="G131" s="201"/>
      <c r="H131" s="1144" t="s">
        <v>2650</v>
      </c>
      <c r="I131" s="1099"/>
      <c r="J131" s="1099"/>
      <c r="K131" s="1099"/>
      <c r="L131" s="1099"/>
    </row>
    <row r="132" spans="1:12" ht="21" thickTop="1">
      <c r="A132" s="1096" t="s">
        <v>2651</v>
      </c>
      <c r="B132" s="1102"/>
      <c r="C132" s="167" t="s">
        <v>2652</v>
      </c>
      <c r="D132" s="167" t="s">
        <v>2653</v>
      </c>
      <c r="E132" s="1106" t="s">
        <v>65</v>
      </c>
      <c r="F132" s="1107"/>
      <c r="G132" s="204" t="s">
        <v>66</v>
      </c>
      <c r="H132" s="1106" t="s">
        <v>67</v>
      </c>
      <c r="I132" s="1107"/>
      <c r="J132" s="1106" t="s">
        <v>68</v>
      </c>
      <c r="K132" s="1107"/>
      <c r="L132" s="203" t="s">
        <v>69</v>
      </c>
    </row>
    <row r="133" spans="1:12" ht="13.5" thickBot="1">
      <c r="A133" s="1111">
        <f>IF(Input!J87,Input!J87,0)</f>
        <v>0</v>
      </c>
      <c r="B133" s="1112"/>
      <c r="C133" s="202" t="s">
        <v>2654</v>
      </c>
      <c r="D133" s="165">
        <f>IF(A133,Input!$J$88,0)</f>
        <v>0</v>
      </c>
      <c r="E133" s="1150">
        <f>Input!$F$8</f>
        <v>39887</v>
      </c>
      <c r="F133" s="1151"/>
      <c r="G133" s="188"/>
      <c r="H133" s="1098"/>
      <c r="I133" s="1110"/>
      <c r="J133" s="1098"/>
      <c r="K133" s="1110"/>
      <c r="L133" s="163"/>
    </row>
    <row r="134" spans="1:3" ht="13.5" thickTop="1">
      <c r="A134" s="12" t="s">
        <v>2342</v>
      </c>
      <c r="B134" s="12"/>
      <c r="C134" s="189">
        <f>IF(A133,Input!$J$88,0)</f>
        <v>0</v>
      </c>
    </row>
    <row r="136" spans="1:9" ht="12.75">
      <c r="A136" s="12" t="s">
        <v>2655</v>
      </c>
      <c r="B136" s="12"/>
      <c r="C136" s="12"/>
      <c r="D136" s="12"/>
      <c r="E136" s="12"/>
      <c r="F136" s="12"/>
      <c r="G136" s="12" t="s">
        <v>2318</v>
      </c>
      <c r="H136" s="12"/>
      <c r="I136" s="12"/>
    </row>
    <row r="137" spans="1:9" ht="12.75">
      <c r="A137" s="12" t="s">
        <v>2656</v>
      </c>
      <c r="B137" s="12"/>
      <c r="C137" s="12"/>
      <c r="D137" s="12"/>
      <c r="E137" s="12"/>
      <c r="F137" s="12"/>
      <c r="G137" s="12" t="s">
        <v>2660</v>
      </c>
      <c r="H137" s="12"/>
      <c r="I137" s="12"/>
    </row>
    <row r="138" spans="1:9" ht="12.75">
      <c r="A138" s="12" t="s">
        <v>2657</v>
      </c>
      <c r="B138" s="12"/>
      <c r="C138" s="12"/>
      <c r="D138" s="12"/>
      <c r="E138" s="12"/>
      <c r="F138" s="12"/>
      <c r="G138" s="12" t="s">
        <v>2661</v>
      </c>
      <c r="H138" s="12"/>
      <c r="I138" s="12"/>
    </row>
    <row r="139" spans="1:7" ht="12.75">
      <c r="A139" s="12" t="s">
        <v>2316</v>
      </c>
      <c r="B139" s="12"/>
      <c r="C139" s="12"/>
      <c r="G139" s="12" t="s">
        <v>2662</v>
      </c>
    </row>
    <row r="140" spans="1:7" ht="12.75">
      <c r="A140" s="7" t="s">
        <v>2317</v>
      </c>
      <c r="B140" s="12"/>
      <c r="C140" s="12"/>
      <c r="G140" s="12" t="s">
        <v>2663</v>
      </c>
    </row>
    <row r="141" spans="1:7" ht="12.75">
      <c r="A141" s="12" t="s">
        <v>2658</v>
      </c>
      <c r="B141" s="12"/>
      <c r="C141" s="12"/>
      <c r="G141" s="12" t="s">
        <v>2664</v>
      </c>
    </row>
    <row r="142" spans="1:7" ht="12.75">
      <c r="A142" s="12" t="s">
        <v>2659</v>
      </c>
      <c r="B142" s="12"/>
      <c r="G142" s="12" t="s">
        <v>2343</v>
      </c>
    </row>
    <row r="143" spans="1:12" ht="12.75">
      <c r="A143" s="4"/>
      <c r="B143" s="4"/>
      <c r="C143" s="4"/>
      <c r="D143" s="4"/>
      <c r="E143" s="4"/>
      <c r="F143" s="4"/>
      <c r="G143" s="4"/>
      <c r="H143" s="4"/>
      <c r="I143" s="4"/>
      <c r="J143" s="4"/>
      <c r="K143" s="4"/>
      <c r="L143" s="4"/>
    </row>
    <row r="144" spans="1:12" ht="12.75">
      <c r="A144" s="13" t="s">
        <v>2039</v>
      </c>
      <c r="B144" s="12"/>
      <c r="C144" s="12"/>
      <c r="D144" s="12"/>
      <c r="F144" s="12"/>
      <c r="G144" s="12"/>
      <c r="H144" s="12"/>
      <c r="J144" s="12"/>
      <c r="K144" s="12"/>
      <c r="L144" s="153" t="s">
        <v>2302</v>
      </c>
    </row>
    <row r="145" spans="1:12" ht="12.75">
      <c r="A145" s="13" t="s">
        <v>2041</v>
      </c>
      <c r="B145" s="12"/>
      <c r="C145" s="12"/>
      <c r="D145" s="12"/>
      <c r="E145" s="1160">
        <f>IF(C162="repair","Add to Existing Card",0)</f>
        <v>0</v>
      </c>
      <c r="F145" s="1160"/>
      <c r="G145" s="1160"/>
      <c r="H145" s="1160"/>
      <c r="I145" s="1160"/>
      <c r="J145" s="1160"/>
      <c r="K145" s="12"/>
      <c r="L145" s="154" t="s">
        <v>883</v>
      </c>
    </row>
    <row r="146" spans="1:12" ht="12.75">
      <c r="A146" s="13" t="s">
        <v>2383</v>
      </c>
      <c r="B146" s="12"/>
      <c r="C146" s="12"/>
      <c r="D146" s="12"/>
      <c r="E146" s="1160"/>
      <c r="F146" s="1160"/>
      <c r="G146" s="1160"/>
      <c r="H146" s="1160"/>
      <c r="I146" s="1160"/>
      <c r="J146" s="1160"/>
      <c r="K146" s="12"/>
      <c r="L146" s="12"/>
    </row>
    <row r="147" ht="12.75">
      <c r="A147" s="155" t="s">
        <v>2618</v>
      </c>
    </row>
    <row r="149" spans="1:12" ht="12.75">
      <c r="A149" s="1100" t="s">
        <v>64</v>
      </c>
      <c r="B149" s="1101"/>
      <c r="C149" s="156" t="s">
        <v>2303</v>
      </c>
      <c r="D149" s="156" t="s">
        <v>2304</v>
      </c>
      <c r="E149" s="1105" t="s">
        <v>2306</v>
      </c>
      <c r="F149" s="1100"/>
      <c r="G149" s="1100"/>
      <c r="H149" s="1101"/>
      <c r="I149" s="1105" t="s">
        <v>2308</v>
      </c>
      <c r="J149" s="1100"/>
      <c r="K149" s="1100"/>
      <c r="L149" s="1100"/>
    </row>
    <row r="150" spans="1:12" ht="12.75">
      <c r="A150" s="1114">
        <f>Input!$F$5</f>
        <v>8</v>
      </c>
      <c r="B150" s="1115"/>
      <c r="C150" s="158" t="str">
        <f>Input!$F$2</f>
        <v>Lincoln</v>
      </c>
      <c r="D150" s="159"/>
      <c r="E150" s="1149">
        <f>Input!$M$89</f>
        <v>0</v>
      </c>
      <c r="F150" s="1114"/>
      <c r="G150" s="1114"/>
      <c r="H150" s="1115"/>
      <c r="I150" s="4"/>
      <c r="J150" s="4"/>
      <c r="K150" s="4"/>
      <c r="L150" s="4"/>
    </row>
    <row r="151" spans="1:12" ht="12.75">
      <c r="A151" s="1065" t="s">
        <v>2309</v>
      </c>
      <c r="B151" s="1065"/>
      <c r="C151" s="1108">
        <f>Input!$M$90</f>
        <v>0</v>
      </c>
      <c r="D151" s="1108"/>
      <c r="E151" s="1108"/>
      <c r="F151" s="1108"/>
      <c r="G151" s="1108"/>
      <c r="H151" s="1116"/>
      <c r="I151" s="1064" t="s">
        <v>2310</v>
      </c>
      <c r="J151" s="1065"/>
      <c r="K151" s="1108">
        <f>Input!$M$91</f>
        <v>0</v>
      </c>
      <c r="L151" s="1108"/>
    </row>
    <row r="152" spans="1:12" ht="12.75">
      <c r="A152" s="1065" t="s">
        <v>2311</v>
      </c>
      <c r="B152" s="1065"/>
      <c r="C152" s="1119">
        <f>Input!$M$105</f>
        <v>0</v>
      </c>
      <c r="D152" s="1119"/>
      <c r="E152" s="1119"/>
      <c r="F152" s="1119"/>
      <c r="G152" s="1119"/>
      <c r="H152" s="1120"/>
      <c r="I152" s="1064" t="s">
        <v>2312</v>
      </c>
      <c r="J152" s="1065"/>
      <c r="K152" s="1108">
        <f>Input!M93</f>
        <v>0</v>
      </c>
      <c r="L152" s="1108"/>
    </row>
    <row r="153" spans="1:12" ht="13.5" thickBot="1">
      <c r="A153" s="161" t="s">
        <v>2347</v>
      </c>
      <c r="B153" s="190">
        <f>Input!$M$94</f>
        <v>0</v>
      </c>
      <c r="C153" s="161" t="s">
        <v>2348</v>
      </c>
      <c r="D153" s="162"/>
      <c r="E153" s="1098" t="s">
        <v>2349</v>
      </c>
      <c r="F153" s="1099"/>
      <c r="G153" s="1111"/>
      <c r="H153" s="1112"/>
      <c r="I153" s="1098" t="s">
        <v>2350</v>
      </c>
      <c r="J153" s="1099"/>
      <c r="K153" s="1109" t="s">
        <v>2616</v>
      </c>
      <c r="L153" s="1109"/>
    </row>
    <row r="154" spans="1:12" ht="13.5" thickTop="1">
      <c r="A154" s="1123" t="s">
        <v>2623</v>
      </c>
      <c r="B154" s="1123"/>
      <c r="C154" s="1123"/>
      <c r="D154" s="1124"/>
      <c r="E154" s="1125" t="s">
        <v>2624</v>
      </c>
      <c r="F154" s="1123"/>
      <c r="G154" s="1126"/>
      <c r="H154" s="1131" t="s">
        <v>2035</v>
      </c>
      <c r="I154" s="1132"/>
      <c r="J154" s="1132"/>
      <c r="K154" s="1132"/>
      <c r="L154" s="1132"/>
    </row>
    <row r="155" spans="1:12" s="219" customFormat="1" ht="20.25">
      <c r="A155" s="223" t="s">
        <v>78</v>
      </c>
      <c r="B155" s="225" t="s">
        <v>79</v>
      </c>
      <c r="C155" s="1127" t="s">
        <v>80</v>
      </c>
      <c r="D155" s="1128"/>
      <c r="E155" s="223" t="s">
        <v>81</v>
      </c>
      <c r="F155" s="223" t="s">
        <v>82</v>
      </c>
      <c r="G155" s="226" t="s">
        <v>83</v>
      </c>
      <c r="H155" s="227" t="s">
        <v>84</v>
      </c>
      <c r="I155" s="227" t="s">
        <v>85</v>
      </c>
      <c r="J155" s="227" t="s">
        <v>86</v>
      </c>
      <c r="K155" s="227" t="s">
        <v>87</v>
      </c>
      <c r="L155" s="228" t="s">
        <v>88</v>
      </c>
    </row>
    <row r="156" spans="1:12" ht="12.75">
      <c r="A156" s="169"/>
      <c r="B156" s="169"/>
      <c r="C156" s="1121"/>
      <c r="D156" s="1122"/>
      <c r="E156" s="169"/>
      <c r="F156" s="169" t="str">
        <f>IF(Input!$F$26&gt;0,CONCATENATE(Input!G242," ",Input!H242),0)</f>
        <v> </v>
      </c>
      <c r="G156" s="192"/>
      <c r="H156" s="158">
        <f>IF(Input!M87,"RCBC",0)</f>
        <v>0</v>
      </c>
      <c r="I156" s="158">
        <f>IF(Input!M87,Input!M95,0)</f>
        <v>0</v>
      </c>
      <c r="J156" s="158">
        <f>IF(Input!M87,CONCATENATE(Input!M96,"' x ",Input!M97,"'"),0)</f>
        <v>0</v>
      </c>
      <c r="K156" s="158">
        <f>IF(Input!M87&gt;1,CONCATENATE(Input!M98," ",Input!S98),0)</f>
        <v>0</v>
      </c>
      <c r="L156" s="193">
        <f>IF(Input!M87&gt;1,CONCATENATE(Input!M103," ",Input!S103),0)</f>
        <v>0</v>
      </c>
    </row>
    <row r="157" spans="1:12" ht="12.75">
      <c r="A157" s="194"/>
      <c r="B157" s="195"/>
      <c r="C157" s="1121"/>
      <c r="D157" s="1122"/>
      <c r="E157" s="169"/>
      <c r="F157" s="196"/>
      <c r="G157" s="197"/>
      <c r="H157" s="1113" t="s">
        <v>2647</v>
      </c>
      <c r="I157" s="1065"/>
      <c r="J157" s="1130" t="str">
        <f>Input!$F$3</f>
        <v>FD04 069 0150 016-020</v>
      </c>
      <c r="K157" s="1130"/>
      <c r="L157" s="1130"/>
    </row>
    <row r="158" spans="1:12" ht="12.75">
      <c r="A158" s="194"/>
      <c r="B158" s="195"/>
      <c r="C158" s="1121"/>
      <c r="D158" s="1122"/>
      <c r="E158" s="169"/>
      <c r="F158" s="196"/>
      <c r="G158" s="197"/>
      <c r="H158" s="1113" t="s">
        <v>2648</v>
      </c>
      <c r="I158" s="1065"/>
      <c r="J158" s="1129" t="str">
        <f>Input!$F$4</f>
        <v>none</v>
      </c>
      <c r="K158" s="1129"/>
      <c r="L158" s="1129"/>
    </row>
    <row r="159" spans="1:12" ht="12.75">
      <c r="A159" s="194"/>
      <c r="B159" s="195"/>
      <c r="C159" s="1121"/>
      <c r="D159" s="1122"/>
      <c r="E159" s="169"/>
      <c r="F159" s="196"/>
      <c r="G159" s="197"/>
      <c r="H159" s="1113" t="s">
        <v>2649</v>
      </c>
      <c r="I159" s="1065"/>
      <c r="J159" s="1065"/>
      <c r="K159" s="1065"/>
      <c r="L159" s="1065"/>
    </row>
    <row r="160" spans="1:12" ht="13.5" thickBot="1">
      <c r="A160" s="198"/>
      <c r="B160" s="199"/>
      <c r="C160" s="1117"/>
      <c r="D160" s="1118"/>
      <c r="E160" s="200"/>
      <c r="F160" s="199"/>
      <c r="G160" s="201"/>
      <c r="H160" s="1144" t="s">
        <v>2650</v>
      </c>
      <c r="I160" s="1099"/>
      <c r="J160" s="1099"/>
      <c r="K160" s="1099"/>
      <c r="L160" s="1099"/>
    </row>
    <row r="161" spans="1:12" ht="21" thickTop="1">
      <c r="A161" s="1096" t="s">
        <v>2651</v>
      </c>
      <c r="B161" s="1102"/>
      <c r="C161" s="167" t="s">
        <v>2652</v>
      </c>
      <c r="D161" s="167" t="s">
        <v>2653</v>
      </c>
      <c r="E161" s="1106" t="s">
        <v>65</v>
      </c>
      <c r="F161" s="1107"/>
      <c r="G161" s="204" t="s">
        <v>66</v>
      </c>
      <c r="H161" s="1106" t="s">
        <v>67</v>
      </c>
      <c r="I161" s="1107"/>
      <c r="J161" s="1106" t="s">
        <v>68</v>
      </c>
      <c r="K161" s="1107"/>
      <c r="L161" s="203" t="s">
        <v>69</v>
      </c>
    </row>
    <row r="162" spans="1:12" ht="13.5" thickBot="1">
      <c r="A162" s="1111">
        <f>IF(Input!M87,Input!M87,0)</f>
        <v>0</v>
      </c>
      <c r="B162" s="1112"/>
      <c r="C162" s="202" t="s">
        <v>2654</v>
      </c>
      <c r="D162" s="165">
        <f>IF(A162,Input!$M$88,0)</f>
        <v>0</v>
      </c>
      <c r="E162" s="1150">
        <f>Input!$F$8</f>
        <v>39887</v>
      </c>
      <c r="F162" s="1151"/>
      <c r="G162" s="188"/>
      <c r="H162" s="1098"/>
      <c r="I162" s="1110"/>
      <c r="J162" s="1098"/>
      <c r="K162" s="1110"/>
      <c r="L162" s="163"/>
    </row>
    <row r="163" spans="1:3" ht="13.5" thickTop="1">
      <c r="A163" s="12" t="s">
        <v>2342</v>
      </c>
      <c r="B163" s="12"/>
      <c r="C163" s="189">
        <f>IF(A162,Input!$M$88,0)</f>
        <v>0</v>
      </c>
    </row>
    <row r="165" spans="1:9" ht="12.75">
      <c r="A165" s="12" t="s">
        <v>2655</v>
      </c>
      <c r="B165" s="12"/>
      <c r="C165" s="12"/>
      <c r="D165" s="12"/>
      <c r="E165" s="12"/>
      <c r="F165" s="12"/>
      <c r="G165" s="12" t="s">
        <v>2318</v>
      </c>
      <c r="H165" s="12"/>
      <c r="I165" s="12"/>
    </row>
    <row r="166" spans="1:9" ht="12.75">
      <c r="A166" s="12" t="s">
        <v>2656</v>
      </c>
      <c r="B166" s="12"/>
      <c r="C166" s="12"/>
      <c r="D166" s="12"/>
      <c r="E166" s="12"/>
      <c r="F166" s="12"/>
      <c r="G166" s="12" t="s">
        <v>2660</v>
      </c>
      <c r="H166" s="12"/>
      <c r="I166" s="12"/>
    </row>
    <row r="167" spans="1:9" ht="12.75">
      <c r="A167" s="12" t="s">
        <v>2657</v>
      </c>
      <c r="B167" s="12"/>
      <c r="C167" s="12"/>
      <c r="D167" s="12"/>
      <c r="E167" s="12"/>
      <c r="F167" s="12"/>
      <c r="G167" s="12" t="s">
        <v>2661</v>
      </c>
      <c r="H167" s="12"/>
      <c r="I167" s="12"/>
    </row>
    <row r="168" spans="1:7" ht="12.75">
      <c r="A168" s="12" t="s">
        <v>2316</v>
      </c>
      <c r="B168" s="12"/>
      <c r="C168" s="12"/>
      <c r="G168" s="12" t="s">
        <v>2662</v>
      </c>
    </row>
    <row r="169" spans="1:7" ht="12.75">
      <c r="A169" s="7" t="s">
        <v>2317</v>
      </c>
      <c r="B169" s="12"/>
      <c r="C169" s="12"/>
      <c r="G169" s="12" t="s">
        <v>2663</v>
      </c>
    </row>
    <row r="170" spans="1:7" ht="12.75">
      <c r="A170" s="12" t="s">
        <v>2658</v>
      </c>
      <c r="B170" s="12"/>
      <c r="C170" s="12"/>
      <c r="G170" s="12" t="s">
        <v>2664</v>
      </c>
    </row>
    <row r="171" spans="1:7" ht="12.75">
      <c r="A171" s="12" t="s">
        <v>2659</v>
      </c>
      <c r="B171" s="12"/>
      <c r="G171" s="12" t="s">
        <v>2343</v>
      </c>
    </row>
    <row r="172" spans="1:12" ht="12.75">
      <c r="A172" s="4"/>
      <c r="B172" s="4"/>
      <c r="C172" s="4"/>
      <c r="D172" s="4"/>
      <c r="E172" s="4"/>
      <c r="F172" s="4"/>
      <c r="G172" s="4"/>
      <c r="H172" s="4"/>
      <c r="I172" s="4"/>
      <c r="J172" s="4"/>
      <c r="K172" s="4"/>
      <c r="L172" s="4"/>
    </row>
    <row r="173" spans="1:12" ht="12.75">
      <c r="A173" s="13" t="s">
        <v>2039</v>
      </c>
      <c r="B173" s="12"/>
      <c r="C173" s="12"/>
      <c r="D173" s="12"/>
      <c r="F173" s="12"/>
      <c r="G173" s="12"/>
      <c r="H173" s="12"/>
      <c r="J173" s="12"/>
      <c r="K173" s="12"/>
      <c r="L173" s="153" t="s">
        <v>2302</v>
      </c>
    </row>
    <row r="174" spans="1:12" ht="12.75">
      <c r="A174" s="13" t="s">
        <v>2041</v>
      </c>
      <c r="B174" s="12"/>
      <c r="C174" s="12"/>
      <c r="D174" s="12"/>
      <c r="E174" s="1160">
        <f>IF(C191="repair","Add to Existing Card",0)</f>
        <v>0</v>
      </c>
      <c r="F174" s="1160"/>
      <c r="G174" s="1160"/>
      <c r="H174" s="1160"/>
      <c r="I174" s="1160"/>
      <c r="J174" s="1160"/>
      <c r="K174" s="12"/>
      <c r="L174" s="154" t="s">
        <v>883</v>
      </c>
    </row>
    <row r="175" spans="1:12" ht="12.75">
      <c r="A175" s="13" t="s">
        <v>2383</v>
      </c>
      <c r="B175" s="12"/>
      <c r="C175" s="12"/>
      <c r="D175" s="12"/>
      <c r="E175" s="1160"/>
      <c r="F175" s="1160"/>
      <c r="G175" s="1160"/>
      <c r="H175" s="1160"/>
      <c r="I175" s="1160"/>
      <c r="J175" s="1160"/>
      <c r="K175" s="12"/>
      <c r="L175" s="12"/>
    </row>
    <row r="176" ht="12.75">
      <c r="A176" s="155" t="s">
        <v>2618</v>
      </c>
    </row>
    <row r="178" spans="1:12" ht="12.75">
      <c r="A178" s="1100" t="s">
        <v>64</v>
      </c>
      <c r="B178" s="1101"/>
      <c r="C178" s="156" t="s">
        <v>2303</v>
      </c>
      <c r="D178" s="156" t="s">
        <v>2304</v>
      </c>
      <c r="E178" s="1105" t="s">
        <v>2306</v>
      </c>
      <c r="F178" s="1100"/>
      <c r="G178" s="1100"/>
      <c r="H178" s="1101"/>
      <c r="I178" s="1105" t="s">
        <v>2308</v>
      </c>
      <c r="J178" s="1100"/>
      <c r="K178" s="1100"/>
      <c r="L178" s="1100"/>
    </row>
    <row r="179" spans="1:12" ht="12.75">
      <c r="A179" s="1114">
        <f>Input!$F$5</f>
        <v>8</v>
      </c>
      <c r="B179" s="1115"/>
      <c r="C179" s="158" t="str">
        <f>Input!$F$2</f>
        <v>Lincoln</v>
      </c>
      <c r="D179" s="159"/>
      <c r="E179" s="1149">
        <f>Input!$P$89</f>
        <v>0</v>
      </c>
      <c r="F179" s="1114"/>
      <c r="G179" s="1114"/>
      <c r="H179" s="1115"/>
      <c r="I179" s="1147"/>
      <c r="J179" s="1148"/>
      <c r="K179" s="1148"/>
      <c r="L179" s="1148"/>
    </row>
    <row r="180" spans="1:12" ht="12.75">
      <c r="A180" s="1065" t="s">
        <v>2309</v>
      </c>
      <c r="B180" s="1065"/>
      <c r="C180" s="1108">
        <f>Input!$P$90</f>
        <v>0</v>
      </c>
      <c r="D180" s="1108"/>
      <c r="E180" s="1108"/>
      <c r="F180" s="1108"/>
      <c r="G180" s="1108"/>
      <c r="H180" s="1116"/>
      <c r="I180" s="1064" t="s">
        <v>2310</v>
      </c>
      <c r="J180" s="1065"/>
      <c r="K180" s="1108">
        <f>Input!$M$91</f>
        <v>0</v>
      </c>
      <c r="L180" s="1108"/>
    </row>
    <row r="181" spans="1:12" ht="12.75">
      <c r="A181" s="1065" t="s">
        <v>2311</v>
      </c>
      <c r="B181" s="1065"/>
      <c r="C181" s="1119">
        <f>Input!$P$105</f>
        <v>0</v>
      </c>
      <c r="D181" s="1119"/>
      <c r="E181" s="1119"/>
      <c r="F181" s="1119"/>
      <c r="G181" s="1119"/>
      <c r="H181" s="1120"/>
      <c r="I181" s="1064" t="s">
        <v>2312</v>
      </c>
      <c r="J181" s="1065"/>
      <c r="K181" s="1108">
        <f>Input!P93</f>
        <v>0</v>
      </c>
      <c r="L181" s="1108"/>
    </row>
    <row r="182" spans="1:12" ht="13.5" thickBot="1">
      <c r="A182" s="161" t="s">
        <v>2347</v>
      </c>
      <c r="B182" s="190">
        <f>Input!$P$94</f>
        <v>0</v>
      </c>
      <c r="C182" s="161" t="s">
        <v>2348</v>
      </c>
      <c r="D182" s="162"/>
      <c r="E182" s="1098" t="s">
        <v>2349</v>
      </c>
      <c r="F182" s="1099"/>
      <c r="G182" s="1111"/>
      <c r="H182" s="1112"/>
      <c r="I182" s="1098" t="s">
        <v>2350</v>
      </c>
      <c r="J182" s="1099"/>
      <c r="K182" s="1109" t="s">
        <v>2616</v>
      </c>
      <c r="L182" s="1109"/>
    </row>
    <row r="183" spans="1:12" ht="13.5" thickTop="1">
      <c r="A183" s="1123" t="s">
        <v>2623</v>
      </c>
      <c r="B183" s="1123"/>
      <c r="C183" s="1123"/>
      <c r="D183" s="1124"/>
      <c r="E183" s="1125" t="s">
        <v>2624</v>
      </c>
      <c r="F183" s="1123"/>
      <c r="G183" s="1126"/>
      <c r="H183" s="1131" t="s">
        <v>2035</v>
      </c>
      <c r="I183" s="1132"/>
      <c r="J183" s="1132"/>
      <c r="K183" s="1132"/>
      <c r="L183" s="1132"/>
    </row>
    <row r="184" spans="1:12" s="219" customFormat="1" ht="20.25">
      <c r="A184" s="223" t="s">
        <v>78</v>
      </c>
      <c r="B184" s="225" t="s">
        <v>79</v>
      </c>
      <c r="C184" s="1127" t="s">
        <v>80</v>
      </c>
      <c r="D184" s="1128"/>
      <c r="E184" s="223" t="s">
        <v>81</v>
      </c>
      <c r="F184" s="223" t="s">
        <v>82</v>
      </c>
      <c r="G184" s="226" t="s">
        <v>83</v>
      </c>
      <c r="H184" s="227" t="s">
        <v>84</v>
      </c>
      <c r="I184" s="227" t="s">
        <v>85</v>
      </c>
      <c r="J184" s="227" t="s">
        <v>86</v>
      </c>
      <c r="K184" s="227" t="s">
        <v>87</v>
      </c>
      <c r="L184" s="228" t="s">
        <v>88</v>
      </c>
    </row>
    <row r="185" spans="1:12" ht="12.75">
      <c r="A185" s="169"/>
      <c r="B185" s="169"/>
      <c r="C185" s="1121"/>
      <c r="D185" s="1122"/>
      <c r="E185" s="169"/>
      <c r="F185" s="169" t="str">
        <f>IF(Input!$F$26&gt;0,CONCATENATE(Input!G302," ",Input!H302),0)</f>
        <v> </v>
      </c>
      <c r="G185" s="192"/>
      <c r="H185" s="158">
        <f>IF(Input!P87,"RCBC",0)</f>
        <v>0</v>
      </c>
      <c r="I185" s="158">
        <f>IF(Input!P87,Input!P95,0)</f>
        <v>0</v>
      </c>
      <c r="J185" s="158">
        <f>IF(Input!P87,CONCATENATE(Input!P96,"' x ",Input!P97,"'"),0)</f>
        <v>0</v>
      </c>
      <c r="K185" s="158">
        <f>IF(Input!P87&gt;1,CONCATENATE(Input!P98," ",Input!S98),0)</f>
        <v>0</v>
      </c>
      <c r="L185" s="193">
        <f>IF(Input!P87&gt;1,CONCATENATE(Input!P103," ",Input!S103),0)</f>
        <v>0</v>
      </c>
    </row>
    <row r="186" spans="1:12" ht="12.75">
      <c r="A186" s="194"/>
      <c r="B186" s="195"/>
      <c r="C186" s="1121"/>
      <c r="D186" s="1122"/>
      <c r="E186" s="169"/>
      <c r="F186" s="196"/>
      <c r="G186" s="197"/>
      <c r="H186" s="1113" t="s">
        <v>2647</v>
      </c>
      <c r="I186" s="1065"/>
      <c r="J186" s="1130" t="str">
        <f>Input!$F$3</f>
        <v>FD04 069 0150 016-020</v>
      </c>
      <c r="K186" s="1130"/>
      <c r="L186" s="1130"/>
    </row>
    <row r="187" spans="1:12" ht="12.75">
      <c r="A187" s="194"/>
      <c r="B187" s="195"/>
      <c r="C187" s="1121"/>
      <c r="D187" s="1122"/>
      <c r="E187" s="169"/>
      <c r="F187" s="196"/>
      <c r="G187" s="197"/>
      <c r="H187" s="1113" t="s">
        <v>2648</v>
      </c>
      <c r="I187" s="1065"/>
      <c r="J187" s="1129" t="str">
        <f>Input!$F$4</f>
        <v>none</v>
      </c>
      <c r="K187" s="1129"/>
      <c r="L187" s="1129"/>
    </row>
    <row r="188" spans="1:12" ht="12.75">
      <c r="A188" s="194"/>
      <c r="B188" s="195"/>
      <c r="C188" s="1121"/>
      <c r="D188" s="1122"/>
      <c r="E188" s="169"/>
      <c r="F188" s="196"/>
      <c r="G188" s="197"/>
      <c r="H188" s="1113" t="s">
        <v>2649</v>
      </c>
      <c r="I188" s="1065"/>
      <c r="J188" s="1065"/>
      <c r="K188" s="1065"/>
      <c r="L188" s="1065"/>
    </row>
    <row r="189" spans="1:12" ht="13.5" thickBot="1">
      <c r="A189" s="198"/>
      <c r="B189" s="199"/>
      <c r="C189" s="1117"/>
      <c r="D189" s="1118"/>
      <c r="E189" s="200"/>
      <c r="F189" s="199"/>
      <c r="G189" s="201"/>
      <c r="H189" s="1144" t="s">
        <v>2650</v>
      </c>
      <c r="I189" s="1099"/>
      <c r="J189" s="1099"/>
      <c r="K189" s="1099"/>
      <c r="L189" s="1099"/>
    </row>
    <row r="190" spans="1:12" ht="21" thickTop="1">
      <c r="A190" s="1096" t="s">
        <v>2651</v>
      </c>
      <c r="B190" s="1102"/>
      <c r="C190" s="167" t="s">
        <v>2652</v>
      </c>
      <c r="D190" s="167" t="s">
        <v>2653</v>
      </c>
      <c r="E190" s="1106" t="s">
        <v>65</v>
      </c>
      <c r="F190" s="1107"/>
      <c r="G190" s="204" t="s">
        <v>66</v>
      </c>
      <c r="H190" s="1106" t="s">
        <v>67</v>
      </c>
      <c r="I190" s="1107"/>
      <c r="J190" s="1106" t="s">
        <v>68</v>
      </c>
      <c r="K190" s="1107"/>
      <c r="L190" s="203" t="s">
        <v>69</v>
      </c>
    </row>
    <row r="191" spans="1:12" ht="13.5" thickBot="1">
      <c r="A191" s="1111">
        <f>IF(Input!P87,Input!P87,0)</f>
        <v>0</v>
      </c>
      <c r="B191" s="1112"/>
      <c r="C191" s="202" t="s">
        <v>2654</v>
      </c>
      <c r="D191" s="165">
        <f>IF(A191,Input!$P$88,0)</f>
        <v>0</v>
      </c>
      <c r="E191" s="1150">
        <f>Input!$F$8</f>
        <v>39887</v>
      </c>
      <c r="F191" s="1151"/>
      <c r="G191" s="188"/>
      <c r="H191" s="1098"/>
      <c r="I191" s="1110"/>
      <c r="J191" s="1098"/>
      <c r="K191" s="1110"/>
      <c r="L191" s="163"/>
    </row>
    <row r="192" spans="1:3" ht="13.5" thickTop="1">
      <c r="A192" s="12" t="s">
        <v>2342</v>
      </c>
      <c r="B192" s="12"/>
      <c r="C192" s="189">
        <f>IF(A191,Input!$P$88,0)</f>
        <v>0</v>
      </c>
    </row>
    <row r="194" spans="1:9" ht="12.75">
      <c r="A194" s="12" t="s">
        <v>2655</v>
      </c>
      <c r="B194" s="12"/>
      <c r="C194" s="12"/>
      <c r="D194" s="12"/>
      <c r="E194" s="12"/>
      <c r="F194" s="12"/>
      <c r="G194" s="12" t="s">
        <v>2318</v>
      </c>
      <c r="H194" s="12"/>
      <c r="I194" s="12"/>
    </row>
    <row r="195" spans="1:9" ht="12.75">
      <c r="A195" s="12" t="s">
        <v>2656</v>
      </c>
      <c r="B195" s="12"/>
      <c r="C195" s="12"/>
      <c r="D195" s="12"/>
      <c r="E195" s="12"/>
      <c r="F195" s="12"/>
      <c r="G195" s="12" t="s">
        <v>2660</v>
      </c>
      <c r="H195" s="12"/>
      <c r="I195" s="12"/>
    </row>
    <row r="196" spans="1:9" ht="12.75">
      <c r="A196" s="12" t="s">
        <v>2657</v>
      </c>
      <c r="B196" s="12"/>
      <c r="C196" s="12"/>
      <c r="D196" s="12"/>
      <c r="E196" s="12"/>
      <c r="F196" s="12"/>
      <c r="G196" s="12" t="s">
        <v>2661</v>
      </c>
      <c r="H196" s="12"/>
      <c r="I196" s="12"/>
    </row>
    <row r="197" spans="1:7" ht="12.75">
      <c r="A197" s="12" t="s">
        <v>2316</v>
      </c>
      <c r="B197" s="12"/>
      <c r="C197" s="12"/>
      <c r="G197" s="12" t="s">
        <v>2662</v>
      </c>
    </row>
    <row r="198" spans="1:7" ht="12.75">
      <c r="A198" s="7" t="s">
        <v>2317</v>
      </c>
      <c r="B198" s="12"/>
      <c r="C198" s="12"/>
      <c r="G198" s="12" t="s">
        <v>2663</v>
      </c>
    </row>
    <row r="199" spans="1:7" ht="12.75">
      <c r="A199" s="12" t="s">
        <v>2658</v>
      </c>
      <c r="B199" s="12"/>
      <c r="C199" s="12"/>
      <c r="G199" s="12" t="s">
        <v>2664</v>
      </c>
    </row>
    <row r="200" spans="1:7" ht="12.75">
      <c r="A200" s="12" t="s">
        <v>2659</v>
      </c>
      <c r="B200" s="12"/>
      <c r="G200" s="12" t="s">
        <v>2343</v>
      </c>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sheetData>
  <sheetProtection password="CBEB" sheet="1" objects="1" scenarios="1"/>
  <mergeCells count="294">
    <mergeCell ref="H11:L11"/>
    <mergeCell ref="K151:L151"/>
    <mergeCell ref="J132:K132"/>
    <mergeCell ref="J102:L102"/>
    <mergeCell ref="I151:J151"/>
    <mergeCell ref="K122:L122"/>
    <mergeCell ref="I123:J123"/>
    <mergeCell ref="I124:J124"/>
    <mergeCell ref="K123:L123"/>
    <mergeCell ref="J131:L131"/>
    <mergeCell ref="H130:I130"/>
    <mergeCell ref="H131:I131"/>
    <mergeCell ref="K124:L124"/>
    <mergeCell ref="C100:D100"/>
    <mergeCell ref="A162:B162"/>
    <mergeCell ref="E178:H178"/>
    <mergeCell ref="E174:J175"/>
    <mergeCell ref="C102:D102"/>
    <mergeCell ref="A104:B104"/>
    <mergeCell ref="E104:F104"/>
    <mergeCell ref="E2:J3"/>
    <mergeCell ref="E58:J59"/>
    <mergeCell ref="E87:J88"/>
    <mergeCell ref="E116:J117"/>
    <mergeCell ref="E95:F95"/>
    <mergeCell ref="E74:F74"/>
    <mergeCell ref="J100:L100"/>
    <mergeCell ref="H100:I100"/>
    <mergeCell ref="E75:F75"/>
    <mergeCell ref="H75:I75"/>
    <mergeCell ref="C97:D97"/>
    <mergeCell ref="E121:H121"/>
    <mergeCell ref="I121:L121"/>
    <mergeCell ref="E153:F153"/>
    <mergeCell ref="I149:L149"/>
    <mergeCell ref="E150:H150"/>
    <mergeCell ref="E149:H149"/>
    <mergeCell ref="E132:F132"/>
    <mergeCell ref="E145:J146"/>
    <mergeCell ref="H132:I132"/>
    <mergeCell ref="A44:B44"/>
    <mergeCell ref="A8:B8"/>
    <mergeCell ref="A9:B9"/>
    <mergeCell ref="J103:K103"/>
    <mergeCell ref="J104:K104"/>
    <mergeCell ref="C99:D99"/>
    <mergeCell ref="C101:D101"/>
    <mergeCell ref="J101:L101"/>
    <mergeCell ref="H101:I101"/>
    <mergeCell ref="A94:B94"/>
    <mergeCell ref="A67:D67"/>
    <mergeCell ref="E67:G67"/>
    <mergeCell ref="H67:L67"/>
    <mergeCell ref="C12:D12"/>
    <mergeCell ref="A64:B64"/>
    <mergeCell ref="J46:K46"/>
    <mergeCell ref="J41:L41"/>
    <mergeCell ref="E63:H63"/>
    <mergeCell ref="J44:K44"/>
    <mergeCell ref="E44:F44"/>
    <mergeCell ref="A6:B6"/>
    <mergeCell ref="E7:H7"/>
    <mergeCell ref="I8:J8"/>
    <mergeCell ref="I9:J9"/>
    <mergeCell ref="I7:L7"/>
    <mergeCell ref="I6:L6"/>
    <mergeCell ref="E6:H6"/>
    <mergeCell ref="K8:L8"/>
    <mergeCell ref="C35:D35"/>
    <mergeCell ref="C37:D37"/>
    <mergeCell ref="C38:D38"/>
    <mergeCell ref="A76:B76"/>
    <mergeCell ref="A65:B65"/>
    <mergeCell ref="A93:B93"/>
    <mergeCell ref="C73:D73"/>
    <mergeCell ref="C69:D69"/>
    <mergeCell ref="C71:D71"/>
    <mergeCell ref="C68:D68"/>
    <mergeCell ref="C98:D98"/>
    <mergeCell ref="K10:L10"/>
    <mergeCell ref="E10:F10"/>
    <mergeCell ref="G10:H10"/>
    <mergeCell ref="H40:I40"/>
    <mergeCell ref="H41:I41"/>
    <mergeCell ref="I10:J10"/>
    <mergeCell ref="H44:I44"/>
    <mergeCell ref="I62:L62"/>
    <mergeCell ref="A11:D11"/>
    <mergeCell ref="A96:D96"/>
    <mergeCell ref="E96:G96"/>
    <mergeCell ref="H96:L96"/>
    <mergeCell ref="C9:H9"/>
    <mergeCell ref="A7:B7"/>
    <mergeCell ref="K9:L9"/>
    <mergeCell ref="A47:B47"/>
    <mergeCell ref="A75:B75"/>
    <mergeCell ref="A74:B74"/>
    <mergeCell ref="A92:B92"/>
    <mergeCell ref="J75:K75"/>
    <mergeCell ref="J73:L73"/>
    <mergeCell ref="H73:I73"/>
    <mergeCell ref="J99:L99"/>
    <mergeCell ref="A120:B120"/>
    <mergeCell ref="E120:H120"/>
    <mergeCell ref="H102:I102"/>
    <mergeCell ref="A103:B103"/>
    <mergeCell ref="E103:F103"/>
    <mergeCell ref="H103:I103"/>
    <mergeCell ref="H104:I104"/>
    <mergeCell ref="C126:D126"/>
    <mergeCell ref="G124:H124"/>
    <mergeCell ref="A122:B122"/>
    <mergeCell ref="A123:B123"/>
    <mergeCell ref="E124:F124"/>
    <mergeCell ref="C122:H122"/>
    <mergeCell ref="A125:D125"/>
    <mergeCell ref="E125:G125"/>
    <mergeCell ref="H125:L125"/>
    <mergeCell ref="A190:B190"/>
    <mergeCell ref="J129:L129"/>
    <mergeCell ref="H128:I128"/>
    <mergeCell ref="H129:I129"/>
    <mergeCell ref="A133:B133"/>
    <mergeCell ref="E133:F133"/>
    <mergeCell ref="H133:I133"/>
    <mergeCell ref="J133:K133"/>
    <mergeCell ref="E161:F161"/>
    <mergeCell ref="H161:I161"/>
    <mergeCell ref="A191:B191"/>
    <mergeCell ref="E191:F191"/>
    <mergeCell ref="H191:I191"/>
    <mergeCell ref="J191:K191"/>
    <mergeCell ref="C188:D188"/>
    <mergeCell ref="J188:L188"/>
    <mergeCell ref="C189:D189"/>
    <mergeCell ref="J189:L189"/>
    <mergeCell ref="H189:I189"/>
    <mergeCell ref="H188:I188"/>
    <mergeCell ref="C186:D186"/>
    <mergeCell ref="J186:L186"/>
    <mergeCell ref="C187:D187"/>
    <mergeCell ref="J187:L187"/>
    <mergeCell ref="H187:I187"/>
    <mergeCell ref="H186:I186"/>
    <mergeCell ref="E182:F182"/>
    <mergeCell ref="C181:H181"/>
    <mergeCell ref="E162:F162"/>
    <mergeCell ref="H162:I162"/>
    <mergeCell ref="I179:L179"/>
    <mergeCell ref="I180:J180"/>
    <mergeCell ref="K182:L182"/>
    <mergeCell ref="C185:D185"/>
    <mergeCell ref="E179:H179"/>
    <mergeCell ref="A183:D183"/>
    <mergeCell ref="E183:G183"/>
    <mergeCell ref="H183:L183"/>
    <mergeCell ref="C184:D184"/>
    <mergeCell ref="A181:B181"/>
    <mergeCell ref="A180:B180"/>
    <mergeCell ref="C180:H180"/>
    <mergeCell ref="A179:B179"/>
    <mergeCell ref="C160:D160"/>
    <mergeCell ref="J160:L160"/>
    <mergeCell ref="H159:I159"/>
    <mergeCell ref="H160:I160"/>
    <mergeCell ref="C159:D159"/>
    <mergeCell ref="J159:L159"/>
    <mergeCell ref="I95:J95"/>
    <mergeCell ref="E91:H91"/>
    <mergeCell ref="E92:H92"/>
    <mergeCell ref="C128:D128"/>
    <mergeCell ref="C130:D130"/>
    <mergeCell ref="I91:L91"/>
    <mergeCell ref="K95:L95"/>
    <mergeCell ref="I93:J93"/>
    <mergeCell ref="I94:J94"/>
    <mergeCell ref="C129:D129"/>
    <mergeCell ref="H74:I74"/>
    <mergeCell ref="J74:K74"/>
    <mergeCell ref="J128:L128"/>
    <mergeCell ref="J130:L130"/>
    <mergeCell ref="I122:J122"/>
    <mergeCell ref="H99:I99"/>
    <mergeCell ref="I120:L120"/>
    <mergeCell ref="I92:L92"/>
    <mergeCell ref="K93:L93"/>
    <mergeCell ref="K94:L94"/>
    <mergeCell ref="H71:I71"/>
    <mergeCell ref="H72:I72"/>
    <mergeCell ref="C70:D70"/>
    <mergeCell ref="J71:L71"/>
    <mergeCell ref="C72:D72"/>
    <mergeCell ref="J72:L72"/>
    <mergeCell ref="J70:L70"/>
    <mergeCell ref="J42:L42"/>
    <mergeCell ref="H42:I42"/>
    <mergeCell ref="H43:I43"/>
    <mergeCell ref="H70:I70"/>
    <mergeCell ref="I65:J65"/>
    <mergeCell ref="K64:L64"/>
    <mergeCell ref="K65:L65"/>
    <mergeCell ref="K66:L66"/>
    <mergeCell ref="I66:J66"/>
    <mergeCell ref="I63:L63"/>
    <mergeCell ref="A45:B45"/>
    <mergeCell ref="A63:B63"/>
    <mergeCell ref="C64:H64"/>
    <mergeCell ref="H45:I45"/>
    <mergeCell ref="J45:K45"/>
    <mergeCell ref="E45:F45"/>
    <mergeCell ref="A62:B62"/>
    <mergeCell ref="E62:H62"/>
    <mergeCell ref="A46:B46"/>
    <mergeCell ref="C65:H65"/>
    <mergeCell ref="C42:D42"/>
    <mergeCell ref="H46:I46"/>
    <mergeCell ref="E46:F46"/>
    <mergeCell ref="C43:D43"/>
    <mergeCell ref="C40:D40"/>
    <mergeCell ref="C41:D41"/>
    <mergeCell ref="I64:J64"/>
    <mergeCell ref="J43:L43"/>
    <mergeCell ref="J40:L40"/>
    <mergeCell ref="J190:K190"/>
    <mergeCell ref="C13:D13"/>
    <mergeCell ref="C15:D15"/>
    <mergeCell ref="C16:D16"/>
    <mergeCell ref="C17:D17"/>
    <mergeCell ref="C18:D18"/>
    <mergeCell ref="C14:D14"/>
    <mergeCell ref="C39:D39"/>
    <mergeCell ref="E66:F66"/>
    <mergeCell ref="G66:H66"/>
    <mergeCell ref="C157:D157"/>
    <mergeCell ref="A151:B151"/>
    <mergeCell ref="J157:L157"/>
    <mergeCell ref="A152:B152"/>
    <mergeCell ref="C151:H151"/>
    <mergeCell ref="G153:H153"/>
    <mergeCell ref="H154:L154"/>
    <mergeCell ref="I153:J153"/>
    <mergeCell ref="E190:F190"/>
    <mergeCell ref="H190:I190"/>
    <mergeCell ref="I152:J152"/>
    <mergeCell ref="C152:H152"/>
    <mergeCell ref="C156:D156"/>
    <mergeCell ref="A154:D154"/>
    <mergeCell ref="E154:G154"/>
    <mergeCell ref="C155:D155"/>
    <mergeCell ref="C158:D158"/>
    <mergeCell ref="J158:L158"/>
    <mergeCell ref="A149:B149"/>
    <mergeCell ref="A150:B150"/>
    <mergeCell ref="A91:B91"/>
    <mergeCell ref="C93:H93"/>
    <mergeCell ref="C94:H94"/>
    <mergeCell ref="G95:H95"/>
    <mergeCell ref="C131:D131"/>
    <mergeCell ref="A121:B121"/>
    <mergeCell ref="C123:H123"/>
    <mergeCell ref="C127:D127"/>
    <mergeCell ref="J161:K161"/>
    <mergeCell ref="K152:L152"/>
    <mergeCell ref="K153:L153"/>
    <mergeCell ref="J162:K162"/>
    <mergeCell ref="G182:H182"/>
    <mergeCell ref="K181:L181"/>
    <mergeCell ref="K180:L180"/>
    <mergeCell ref="H157:I157"/>
    <mergeCell ref="H158:I158"/>
    <mergeCell ref="C20:D20"/>
    <mergeCell ref="C21:D21"/>
    <mergeCell ref="C24:D24"/>
    <mergeCell ref="C22:D22"/>
    <mergeCell ref="C25:D25"/>
    <mergeCell ref="C26:D26"/>
    <mergeCell ref="C30:D30"/>
    <mergeCell ref="C31:D31"/>
    <mergeCell ref="C34:D34"/>
    <mergeCell ref="C32:D32"/>
    <mergeCell ref="C33:D33"/>
    <mergeCell ref="C27:D27"/>
    <mergeCell ref="C28:D28"/>
    <mergeCell ref="C29:D29"/>
    <mergeCell ref="E11:G11"/>
    <mergeCell ref="I182:J182"/>
    <mergeCell ref="A178:B178"/>
    <mergeCell ref="A132:B132"/>
    <mergeCell ref="I181:J181"/>
    <mergeCell ref="C19:D19"/>
    <mergeCell ref="C36:D36"/>
    <mergeCell ref="C23:D23"/>
    <mergeCell ref="I178:L178"/>
    <mergeCell ref="A161:B161"/>
  </mergeCells>
  <conditionalFormatting sqref="E2:J3 E58:J59 E87:J88 E116:J117 E145:J146 E174:J175">
    <cfRule type="cellIs" priority="1" dxfId="1" operator="notEqual" stopIfTrue="1">
      <formula>0</formula>
    </cfRule>
  </conditionalFormatting>
  <printOptions/>
  <pageMargins left="0.25" right="0.25" top="0.25" bottom="0.5" header="0.5" footer="0.25"/>
  <pageSetup horizontalDpi="300" verticalDpi="300" orientation="portrait" r:id="rId2"/>
  <headerFooter alignWithMargins="0">
    <oddFooter>&amp;L&amp;F&amp;C&amp;D&amp;R&amp;A</oddFooter>
  </headerFooter>
  <rowBreaks count="5" manualBreakCount="5">
    <brk id="56" max="255" man="1"/>
    <brk id="85" max="255" man="1"/>
    <brk id="114" max="255" man="1"/>
    <brk id="143" max="255" man="1"/>
    <brk id="172" max="255" man="1"/>
  </rowBreaks>
  <drawing r:id="rId1"/>
</worksheet>
</file>

<file path=xl/worksheets/sheet6.xml><?xml version="1.0" encoding="utf-8"?>
<worksheet xmlns="http://schemas.openxmlformats.org/spreadsheetml/2006/main" xmlns:r="http://schemas.openxmlformats.org/officeDocument/2006/relationships">
  <dimension ref="A1:T139"/>
  <sheetViews>
    <sheetView showGridLines="0" showZeros="0" zoomScalePageLayoutView="0" workbookViewId="0" topLeftCell="A1">
      <selection activeCell="A1" sqref="A1:I1"/>
    </sheetView>
  </sheetViews>
  <sheetFormatPr defaultColWidth="9.140625" defaultRowHeight="12.75"/>
  <cols>
    <col min="1" max="20" width="6.7109375" style="1" customWidth="1"/>
    <col min="21" max="27" width="7.7109375" style="1" customWidth="1"/>
    <col min="28" max="16384" width="9.140625" style="1" customWidth="1"/>
  </cols>
  <sheetData>
    <row r="1" spans="1:20" ht="12.75" customHeight="1">
      <c r="A1" s="1174" t="s">
        <v>2384</v>
      </c>
      <c r="B1" s="1174"/>
      <c r="C1" s="1174"/>
      <c r="D1" s="1174"/>
      <c r="E1" s="1174"/>
      <c r="F1" s="1174"/>
      <c r="G1" s="1174"/>
      <c r="H1" s="1174"/>
      <c r="I1" s="1174"/>
      <c r="S1" s="1169" t="s">
        <v>76</v>
      </c>
      <c r="T1" s="1169"/>
    </row>
    <row r="2" spans="1:9" ht="9.75">
      <c r="A2" s="1174" t="s">
        <v>75</v>
      </c>
      <c r="B2" s="1174"/>
      <c r="C2" s="1174"/>
      <c r="D2" s="1174"/>
      <c r="E2" s="1174"/>
      <c r="F2" s="1174"/>
      <c r="G2" s="1174"/>
      <c r="H2" s="1174"/>
      <c r="I2" s="1174"/>
    </row>
    <row r="3" ht="9.75" customHeight="1"/>
    <row r="4" spans="1:20" ht="9.75" customHeight="1">
      <c r="A4" s="1173" t="s">
        <v>2042</v>
      </c>
      <c r="B4" s="1173"/>
      <c r="C4" s="864" t="str">
        <f>Input!F2</f>
        <v>Lincoln</v>
      </c>
      <c r="D4" s="864"/>
      <c r="E4" s="864"/>
      <c r="F4" s="864"/>
      <c r="G4" s="864"/>
      <c r="H4" s="70"/>
      <c r="I4" s="1173" t="s">
        <v>2667</v>
      </c>
      <c r="J4" s="1173"/>
      <c r="K4" s="1173"/>
      <c r="L4" s="864" t="str">
        <f>Input!F3</f>
        <v>FD04 069 0150 016-020</v>
      </c>
      <c r="M4" s="864"/>
      <c r="N4" s="864"/>
      <c r="O4" s="864"/>
      <c r="Q4" s="1173" t="s">
        <v>2322</v>
      </c>
      <c r="R4" s="1173"/>
      <c r="S4" s="1173"/>
      <c r="T4" s="497" t="s">
        <v>2305</v>
      </c>
    </row>
    <row r="5" spans="1:20" ht="9.75" customHeight="1">
      <c r="A5" s="1171" t="s">
        <v>2045</v>
      </c>
      <c r="B5" s="1171"/>
      <c r="C5" s="862" t="str">
        <f>IF(Input!F14&gt;0,CONCATENATE(Input!F14,", ",Input!F15),Input!F15)</f>
        <v>US 150, Crab Orchard - Mt Vernon Road</v>
      </c>
      <c r="D5" s="862"/>
      <c r="E5" s="862"/>
      <c r="F5" s="862"/>
      <c r="G5" s="862"/>
      <c r="H5" s="70"/>
      <c r="I5" s="1171" t="s">
        <v>2668</v>
      </c>
      <c r="J5" s="1171"/>
      <c r="K5" s="1171"/>
      <c r="L5" s="862" t="str">
        <f>Input!F4</f>
        <v>none</v>
      </c>
      <c r="M5" s="862"/>
      <c r="N5" s="862"/>
      <c r="O5" s="862"/>
      <c r="Q5" s="1171" t="s">
        <v>2323</v>
      </c>
      <c r="R5" s="1171"/>
      <c r="S5" s="1171"/>
      <c r="T5" s="498" t="s">
        <v>2305</v>
      </c>
    </row>
    <row r="6" spans="17:20" ht="9.75" customHeight="1">
      <c r="Q6" s="1171" t="s">
        <v>2324</v>
      </c>
      <c r="R6" s="1171"/>
      <c r="S6" s="1171"/>
      <c r="T6" s="498" t="s">
        <v>2305</v>
      </c>
    </row>
    <row r="7" spans="1:15" ht="9.75" customHeight="1">
      <c r="A7" s="1197" t="s">
        <v>2325</v>
      </c>
      <c r="B7" s="1197"/>
      <c r="C7" s="1197"/>
      <c r="D7" s="1193" t="str">
        <f>IF(Input!F11,CONCATENATE(Input!F11," / ",Input!F34,"-SH"),0)</f>
        <v>25546 / 23-SH</v>
      </c>
      <c r="E7" s="1193"/>
      <c r="F7" s="1193">
        <f>IF(Input!D87,CONCATENATE(Input!D87," / ",Input!D92,"-SH"),0)</f>
        <v>0</v>
      </c>
      <c r="G7" s="1193"/>
      <c r="H7" s="1193">
        <f>IF(Input!G87,CONCATENATE(Input!G87," / ",Input!G92,"-SH"),0)</f>
        <v>0</v>
      </c>
      <c r="I7" s="1193"/>
      <c r="J7" s="1193">
        <f>IF(Input!J87,CONCATENATE(Input!J87," / ",Input!J92,"-SH"),0)</f>
        <v>0</v>
      </c>
      <c r="K7" s="1193"/>
      <c r="L7" s="1193">
        <f>IF(Input!M87,CONCATENATE(Input!M87," / ",Input!M92,"-SH"),0)</f>
        <v>0</v>
      </c>
      <c r="M7" s="1193"/>
      <c r="N7" s="1193">
        <f>IF(Input!P87,CONCATENATE(Input!P87," / ",Input!P92,"-SH"),0)</f>
        <v>0</v>
      </c>
      <c r="O7" s="1193"/>
    </row>
    <row r="8" spans="17:20" ht="9.75" customHeight="1">
      <c r="Q8" s="1190" t="s">
        <v>2338</v>
      </c>
      <c r="R8" s="1190"/>
      <c r="S8" s="1190"/>
      <c r="T8" s="73">
        <f>SUM(Input!F34,Input!D92,Input!G92,Input!J92,Input!M92,Input!P92)</f>
        <v>23</v>
      </c>
    </row>
    <row r="9" spans="1:16" ht="9.75" customHeight="1">
      <c r="A9" s="1196" t="s">
        <v>378</v>
      </c>
      <c r="B9" s="1196"/>
      <c r="C9" s="1196"/>
      <c r="O9" s="1194"/>
      <c r="P9" s="1194"/>
    </row>
    <row r="10" spans="1:18" ht="9.75" customHeight="1">
      <c r="A10" s="1195" t="str">
        <f>IF(Input!O3="Y",Input!P3,0)</f>
        <v>BBP-001-12</v>
      </c>
      <c r="B10" s="1195"/>
      <c r="C10" s="1193">
        <f>IF(Input!O8="Y",Input!P8,0)</f>
        <v>0</v>
      </c>
      <c r="D10" s="1193"/>
      <c r="E10" s="1193">
        <f>IF(Input!O13="Y",Input!P13,0)</f>
        <v>0</v>
      </c>
      <c r="F10" s="1193"/>
      <c r="G10" s="1193">
        <f>IF(Input!O18="Y",Input!P18,0)</f>
        <v>0</v>
      </c>
      <c r="H10" s="1193"/>
      <c r="I10" s="1193">
        <f>IF(Input!O23="Y",Input!P23,0)</f>
        <v>0</v>
      </c>
      <c r="J10" s="1193"/>
      <c r="K10" s="1193" t="str">
        <f>IF(Input!O28="Y",Input!P28,0)</f>
        <v>BGX-015-03</v>
      </c>
      <c r="L10" s="1193"/>
      <c r="M10" s="1193">
        <f>IF(Input!O33="Y",Input!P33,0)</f>
        <v>0</v>
      </c>
      <c r="N10" s="1193"/>
      <c r="O10" s="1193">
        <f>IF(Input!O38="Y",Input!P38,0)</f>
        <v>0</v>
      </c>
      <c r="P10" s="1193"/>
      <c r="Q10" s="1191"/>
      <c r="R10" s="1191"/>
    </row>
    <row r="11" spans="1:18" ht="9.75" customHeight="1">
      <c r="A11" s="1182" t="str">
        <f>IF(Input!O4="Y",Input!P4,0)</f>
        <v>BBP-002-04</v>
      </c>
      <c r="B11" s="1182"/>
      <c r="C11" s="1182">
        <f>IF(Input!O9="Y",Input!P9,0)</f>
        <v>0</v>
      </c>
      <c r="D11" s="1182"/>
      <c r="E11" s="1182">
        <f>IF(Input!O14="Y",Input!P14,0)</f>
        <v>0</v>
      </c>
      <c r="F11" s="1182"/>
      <c r="G11" s="1195">
        <f>IF(Input!O19="Y",Input!P19,0)</f>
        <v>0</v>
      </c>
      <c r="H11" s="1195"/>
      <c r="I11" s="1182">
        <f>IF(Input!O24="Y",Input!P24,0)</f>
        <v>0</v>
      </c>
      <c r="J11" s="1182"/>
      <c r="K11" s="1182">
        <f>IF(Input!O29="Y",Input!P29,0)</f>
        <v>0</v>
      </c>
      <c r="L11" s="1182"/>
      <c r="M11" s="1182">
        <f>IF(Input!O34="Y",Input!P34,0)</f>
        <v>0</v>
      </c>
      <c r="N11" s="1182"/>
      <c r="O11" s="1182">
        <f>IF(Input!O39="Y",Input!P39,0)</f>
        <v>0</v>
      </c>
      <c r="P11" s="1182"/>
      <c r="Q11" s="1192"/>
      <c r="R11" s="1192"/>
    </row>
    <row r="12" spans="1:18" ht="9.75" customHeight="1">
      <c r="A12" s="1182">
        <f>IF(Input!O5="Y",Input!P5,0)</f>
        <v>0</v>
      </c>
      <c r="B12" s="1182"/>
      <c r="C12" s="1182">
        <f>IF(Input!O10="Y",Input!P10,0)</f>
        <v>0</v>
      </c>
      <c r="D12" s="1182"/>
      <c r="E12" s="1182">
        <f>IF(Input!O15="Y",Input!P15,0)</f>
        <v>0</v>
      </c>
      <c r="F12" s="1182"/>
      <c r="G12" s="1182">
        <f>IF(Input!O20="Y",Input!P20,0)</f>
        <v>0</v>
      </c>
      <c r="H12" s="1182"/>
      <c r="I12" s="1182" t="str">
        <f>IF(Input!O25="Y",Input!P25,0)</f>
        <v>BGX-012-02</v>
      </c>
      <c r="J12" s="1182"/>
      <c r="K12" s="1182">
        <f>IF(Input!O30="Y",Input!P30,0)</f>
        <v>0</v>
      </c>
      <c r="L12" s="1182"/>
      <c r="M12" s="1195" t="str">
        <f>IF(Input!O35="Y",Input!P35,0)</f>
        <v>BPS-009-08</v>
      </c>
      <c r="N12" s="1195"/>
      <c r="O12" s="1182">
        <f>IF(Input!O40="Y",Input!P40,0)</f>
        <v>0</v>
      </c>
      <c r="P12" s="1182"/>
      <c r="Q12" s="1192"/>
      <c r="R12" s="1192"/>
    </row>
    <row r="13" spans="1:18" ht="9.75" customHeight="1">
      <c r="A13" s="1182">
        <f>IF(Input!O6="Y",Input!P6,0)</f>
        <v>0</v>
      </c>
      <c r="B13" s="1182"/>
      <c r="C13" s="1195">
        <f>IF(Input!O11="Y",Input!P11,0)</f>
        <v>0</v>
      </c>
      <c r="D13" s="1195"/>
      <c r="E13" s="1182">
        <f>IF(Input!O16="Y",Input!P16,0)</f>
        <v>0</v>
      </c>
      <c r="F13" s="1182"/>
      <c r="G13" s="1182" t="str">
        <f>IF(Input!O21="Y",Input!P21,0)</f>
        <v>BGX-006-10</v>
      </c>
      <c r="H13" s="1182"/>
      <c r="I13" s="1182">
        <f>IF(Input!O26="Y",Input!P26,0)</f>
        <v>0</v>
      </c>
      <c r="J13" s="1182"/>
      <c r="K13" s="1182" t="str">
        <f>IF(Input!O31="Y",Input!P31,0)</f>
        <v>BJE-001-14</v>
      </c>
      <c r="L13" s="1182"/>
      <c r="M13" s="1182">
        <f>IF(Input!O36="Y",Input!P36,0)</f>
        <v>0</v>
      </c>
      <c r="N13" s="1182"/>
      <c r="O13" s="1182" t="str">
        <f>IF(Input!O41="Y",Input!P41,0)</f>
        <v>BGX-017-02</v>
      </c>
      <c r="P13" s="1182"/>
      <c r="Q13" s="1192"/>
      <c r="R13" s="1192"/>
    </row>
    <row r="14" spans="1:18" ht="9.75" customHeight="1">
      <c r="A14" s="1182">
        <f>IF(Input!O7="Y",Input!P7,0)</f>
        <v>0</v>
      </c>
      <c r="B14" s="1182"/>
      <c r="C14" s="1182">
        <f>IF(Input!O12="Y",Input!P12,0)</f>
        <v>0</v>
      </c>
      <c r="D14" s="1182"/>
      <c r="E14" s="1182">
        <f>IF(Input!O17="Y",Input!P17,0)</f>
        <v>0</v>
      </c>
      <c r="F14" s="1182"/>
      <c r="G14" s="1182">
        <f>IF(Input!O22="Y",Input!P22,0)</f>
        <v>0</v>
      </c>
      <c r="H14" s="1182"/>
      <c r="I14" s="1182">
        <f>IF(Input!O27="Y",Input!P27,0)</f>
        <v>0</v>
      </c>
      <c r="J14" s="1182"/>
      <c r="K14" s="1182">
        <f>IF(Input!O32="Y",Input!P32,0)</f>
        <v>0</v>
      </c>
      <c r="L14" s="1182"/>
      <c r="M14" s="1182">
        <f>IF(Input!O37="Y",Input!P37,0)</f>
        <v>0</v>
      </c>
      <c r="N14" s="1182"/>
      <c r="O14" s="1182" t="str">
        <f>IF(Input!O42="Y",Input!P42,0)</f>
        <v>BHS-008-02</v>
      </c>
      <c r="P14" s="1182"/>
      <c r="Q14" s="1192"/>
      <c r="R14" s="1192"/>
    </row>
    <row r="15" ht="9.75" customHeight="1"/>
    <row r="16" spans="1:20" ht="9.75" customHeight="1">
      <c r="A16" s="1177" t="s">
        <v>2336</v>
      </c>
      <c r="B16" s="1177"/>
      <c r="C16" s="1177"/>
      <c r="D16" s="1177"/>
      <c r="E16" s="1177"/>
      <c r="F16" s="1177"/>
      <c r="G16" s="1201">
        <f>Input!F11</f>
        <v>25546</v>
      </c>
      <c r="H16" s="1201"/>
      <c r="I16" s="1183">
        <f>Input!D87</f>
        <v>0</v>
      </c>
      <c r="J16" s="1184"/>
      <c r="K16" s="1183">
        <f>Input!G87</f>
        <v>0</v>
      </c>
      <c r="L16" s="1184"/>
      <c r="M16" s="1183">
        <f>Input!J87</f>
        <v>0</v>
      </c>
      <c r="N16" s="1184"/>
      <c r="O16" s="1183">
        <f>Input!M87</f>
        <v>0</v>
      </c>
      <c r="P16" s="1184"/>
      <c r="Q16" s="1183">
        <f>Input!P87</f>
        <v>0</v>
      </c>
      <c r="R16" s="1184"/>
      <c r="S16" s="75"/>
      <c r="T16" s="76"/>
    </row>
    <row r="17" spans="1:20" ht="9.75" customHeight="1">
      <c r="A17" s="1177" t="s">
        <v>2337</v>
      </c>
      <c r="B17" s="1177"/>
      <c r="C17" s="1177"/>
      <c r="D17" s="1177"/>
      <c r="E17" s="1177"/>
      <c r="F17" s="1177"/>
      <c r="G17" s="1201" t="str">
        <f>Input!F24</f>
        <v>167+50.000</v>
      </c>
      <c r="H17" s="1201"/>
      <c r="I17" s="1183">
        <f>Input!D93</f>
        <v>0</v>
      </c>
      <c r="J17" s="1184"/>
      <c r="K17" s="1183">
        <f>Input!G93</f>
        <v>0</v>
      </c>
      <c r="L17" s="1184"/>
      <c r="M17" s="1183">
        <f>Input!J93</f>
        <v>0</v>
      </c>
      <c r="N17" s="1184"/>
      <c r="O17" s="1183">
        <f>Input!M93</f>
        <v>0</v>
      </c>
      <c r="P17" s="1184"/>
      <c r="Q17" s="1183">
        <f>Input!P93</f>
        <v>0</v>
      </c>
      <c r="R17" s="1184"/>
      <c r="T17" s="76"/>
    </row>
    <row r="18" spans="7:20" ht="9.75" customHeight="1">
      <c r="G18" s="1201"/>
      <c r="H18" s="1201"/>
      <c r="I18" s="1188">
        <f>IF(Input!D87,Input!D89,0)</f>
        <v>0</v>
      </c>
      <c r="J18" s="1189"/>
      <c r="K18" s="1187">
        <f>IF(Input!G87,Input!G89,0)</f>
        <v>0</v>
      </c>
      <c r="L18" s="1187"/>
      <c r="M18" s="1187">
        <f>IF(Input!J87,Input!J89,0)</f>
        <v>0</v>
      </c>
      <c r="N18" s="1187"/>
      <c r="O18" s="1187">
        <f>IF(Input!M89&gt;0,Input!M89,0)</f>
        <v>0</v>
      </c>
      <c r="P18" s="1187"/>
      <c r="Q18" s="1187">
        <f>IF(Input!P89&gt;0,Input!P89,0)</f>
        <v>0</v>
      </c>
      <c r="R18" s="1187"/>
      <c r="T18" s="74"/>
    </row>
    <row r="19" spans="1:20" ht="9.75" customHeight="1">
      <c r="A19" s="1179" t="s">
        <v>2327</v>
      </c>
      <c r="B19" s="1179"/>
      <c r="C19" s="1179"/>
      <c r="D19" s="1179"/>
      <c r="E19" s="1179"/>
      <c r="F19" s="1179"/>
      <c r="G19" s="1202"/>
      <c r="H19" s="1202"/>
      <c r="I19" s="1185"/>
      <c r="J19" s="1186"/>
      <c r="K19" s="1185"/>
      <c r="L19" s="1186"/>
      <c r="M19" s="1185"/>
      <c r="N19" s="1186"/>
      <c r="O19" s="1185"/>
      <c r="P19" s="1186"/>
      <c r="Q19" s="1185"/>
      <c r="R19" s="1186"/>
      <c r="T19" s="74"/>
    </row>
    <row r="20" spans="1:20" ht="9.75" customHeight="1">
      <c r="A20" s="71"/>
      <c r="B20" s="1203" t="s">
        <v>1730</v>
      </c>
      <c r="C20" s="1203"/>
      <c r="D20" s="1203" t="s">
        <v>2328</v>
      </c>
      <c r="E20" s="1203"/>
      <c r="F20" s="71"/>
      <c r="G20" s="1204" t="str">
        <f>IF($G$16,"BRIDGE",0)</f>
        <v>BRIDGE</v>
      </c>
      <c r="H20" s="1204"/>
      <c r="I20" s="1180">
        <f>IF($I$16,"CULVERT",0)</f>
        <v>0</v>
      </c>
      <c r="J20" s="1181"/>
      <c r="K20" s="1180">
        <f>IF($K$16,"CULVERT",0)</f>
        <v>0</v>
      </c>
      <c r="L20" s="1181"/>
      <c r="M20" s="1180">
        <f>IF($M$16,"CULVERT",0)</f>
        <v>0</v>
      </c>
      <c r="N20" s="1181"/>
      <c r="O20" s="1180">
        <f>IF($O$16,"CULVERT",0)</f>
        <v>0</v>
      </c>
      <c r="P20" s="1181"/>
      <c r="Q20" s="1180">
        <f>IF($Q$16,"CULVERT",0)</f>
        <v>0</v>
      </c>
      <c r="R20" s="1181"/>
      <c r="S20" s="1198"/>
      <c r="T20" s="1198"/>
    </row>
    <row r="21" spans="1:20" ht="9.75" customHeight="1">
      <c r="A21" s="72"/>
      <c r="B21" s="1199" t="s">
        <v>2329</v>
      </c>
      <c r="C21" s="1199"/>
      <c r="D21" s="1199" t="s">
        <v>2329</v>
      </c>
      <c r="E21" s="1199"/>
      <c r="F21" s="72"/>
      <c r="G21" s="1200" t="str">
        <f>IF($G$16,CONCATENATE(TEXT(Input!F28,"0.0")," ",Input!I28),0)</f>
        <v>153.5 ft.</v>
      </c>
      <c r="H21" s="1200"/>
      <c r="I21" s="1175">
        <f>IF($I$16,CONCATENATE(TEXT(Input!D98,"0.000")," ",Input!S98),0)</f>
        <v>0</v>
      </c>
      <c r="J21" s="1176"/>
      <c r="K21" s="1175">
        <f>IF($K$16,CONCATENATE(Input!G98," ",Input!S98),0)</f>
        <v>0</v>
      </c>
      <c r="L21" s="1176"/>
      <c r="M21" s="1175">
        <f>IF($M$16,CONCATENATE(Input!J98," ",Input!S98),0)</f>
        <v>0</v>
      </c>
      <c r="N21" s="1176"/>
      <c r="O21" s="1175">
        <f>IF($O$16,CONCATENATE(Input!M98," ",Input!S98),0)</f>
        <v>0</v>
      </c>
      <c r="P21" s="1176"/>
      <c r="Q21" s="1175">
        <f>IF($Q$16,CONCATENATE(Input!P98," ",Input!S98),0)</f>
        <v>0</v>
      </c>
      <c r="R21" s="1176"/>
      <c r="S21" s="1183"/>
      <c r="T21" s="1198"/>
    </row>
    <row r="22" spans="1:20" ht="9.75" customHeight="1">
      <c r="A22" s="72"/>
      <c r="B22" s="1199" t="s">
        <v>2330</v>
      </c>
      <c r="C22" s="1199"/>
      <c r="D22" s="1199" t="s">
        <v>2331</v>
      </c>
      <c r="E22" s="1199"/>
      <c r="F22" s="72"/>
      <c r="G22" s="1200" t="str">
        <f>IF($G$16,CONCATENATE(Input!F26," SPAN"),0)</f>
        <v>3 SPAN</v>
      </c>
      <c r="H22" s="1200"/>
      <c r="I22" s="1175">
        <f>IF($I$16,IF(Input!D95=1,"Single",IF(Input!D95=2,"Double",IF(Input!D95=3,"Triple",0))),0)</f>
        <v>0</v>
      </c>
      <c r="J22" s="1176"/>
      <c r="K22" s="1175">
        <f>IF($K$16,IF(Input!G95=1,"Single",IF(Input!G95=2,"Double",IF(Input!G95=3,"Triple",0))),0)</f>
        <v>0</v>
      </c>
      <c r="L22" s="1176"/>
      <c r="M22" s="1175">
        <f>IF($M$16,IF(Input!J95=1,"Single",IF(Input!J95=2,"Double",IF(Input!J95=3,"Triple",0))),0)</f>
        <v>0</v>
      </c>
      <c r="N22" s="1176"/>
      <c r="O22" s="1175">
        <f>IF($O$16,IF(Input!M95=1,"Single",IF(Input!M95=2,"Double",IF(Input!M95=3,"Triple",0))),0)</f>
        <v>0</v>
      </c>
      <c r="P22" s="1176"/>
      <c r="Q22" s="1175">
        <f>IF($Q$16,IF(Input!P95=1,"Single",IF(Input!P95=2,"Double",IF(Input!P95=3,"Triple",0))),0)</f>
        <v>0</v>
      </c>
      <c r="R22" s="1176"/>
      <c r="S22" s="1183"/>
      <c r="T22" s="1198"/>
    </row>
    <row r="23" spans="1:20" ht="9.75" customHeight="1">
      <c r="A23" s="72"/>
      <c r="B23" s="1199" t="s">
        <v>1660</v>
      </c>
      <c r="C23" s="1199"/>
      <c r="D23" s="1199" t="s">
        <v>1660</v>
      </c>
      <c r="E23" s="1199"/>
      <c r="F23" s="72"/>
      <c r="G23" s="1200" t="str">
        <f>IF($G$16,CONCATENATE(TEXT(Input!F25,"0.0")," ",Input!J25),0)</f>
        <v>30.0 Rt</v>
      </c>
      <c r="H23" s="1200"/>
      <c r="I23" s="1175">
        <f>IF($I$16,Input!D94,0)</f>
        <v>0</v>
      </c>
      <c r="J23" s="1176"/>
      <c r="K23" s="1175">
        <f>IF($K$16,Input!G94,0)</f>
        <v>0</v>
      </c>
      <c r="L23" s="1176"/>
      <c r="M23" s="1175">
        <f>IF($M$16,Input!J94,0)</f>
        <v>0</v>
      </c>
      <c r="N23" s="1176"/>
      <c r="O23" s="1175">
        <f>IF($O$16,Input!M94,0)</f>
        <v>0</v>
      </c>
      <c r="P23" s="1176"/>
      <c r="Q23" s="1175">
        <f>IF($Q$16,Input!P94,0)</f>
        <v>0</v>
      </c>
      <c r="R23" s="1176"/>
      <c r="S23" s="1183"/>
      <c r="T23" s="1198"/>
    </row>
    <row r="24" spans="1:20" ht="9.75" customHeight="1">
      <c r="A24" s="72"/>
      <c r="B24" s="1199" t="s">
        <v>2332</v>
      </c>
      <c r="C24" s="1199"/>
      <c r="D24" s="1199" t="s">
        <v>2333</v>
      </c>
      <c r="E24" s="1199"/>
      <c r="F24" s="72"/>
      <c r="G24" s="1200" t="str">
        <f>IF($G$16,Input!F20,0)</f>
        <v>PCIB Type 3</v>
      </c>
      <c r="H24" s="1200"/>
      <c r="I24" s="1175">
        <f>IF($I$16,CONCATENATE("RCBC - ",TEXT(Input!D96,"0.0"),"' x ",TEXT(Input!D97,"0.0"),"'"),0)</f>
        <v>0</v>
      </c>
      <c r="J24" s="1176"/>
      <c r="K24" s="1175">
        <f>IF($K$16,CONCATENATE("RCBC - ",Input!G96,"' x ",Input!G97,"'"),0)</f>
        <v>0</v>
      </c>
      <c r="L24" s="1176"/>
      <c r="M24" s="1175">
        <f>IF($M$16,CONCATENATE("RCBC - ",Input!J96,"' x ",Input!J97,"'"),0)</f>
        <v>0</v>
      </c>
      <c r="N24" s="1176"/>
      <c r="O24" s="1175">
        <f>IF($O$16,CONCATENATE("RCBC - ",Input!M96,"' x ",Input!M97,"'"),0)</f>
        <v>0</v>
      </c>
      <c r="P24" s="1176"/>
      <c r="Q24" s="1175">
        <f>IF($Q$16,CONCATENATE("RCBC - ",Input!P96,"' x ",Input!P97,"'"),0)</f>
        <v>0</v>
      </c>
      <c r="R24" s="1176"/>
      <c r="S24" s="1183"/>
      <c r="T24" s="1198"/>
    </row>
    <row r="25" spans="1:20" ht="9.75" customHeight="1">
      <c r="A25" s="72"/>
      <c r="B25" s="1199" t="s">
        <v>2339</v>
      </c>
      <c r="C25" s="1199"/>
      <c r="D25" s="1199" t="s">
        <v>71</v>
      </c>
      <c r="E25" s="1199"/>
      <c r="F25" s="1200" t="str">
        <f>IF(Input!$F$26=1,TEXT(Input!B54,"0.0"),IF(Input!$F$26=2,CONCATENATE(TEXT(Input!B54,"0.0"),"-",TEXT(Input!B56,"0.0")),IF(Input!$F$26=3,CONCATENATE(TEXT(Input!B54,"0.0"),"-",TEXT(Input!B56,"0.0"),"-",TEXT(Input!B58,"0.0")),IF(Input!$F$26=4,CONCATENATE(TEXT(Input!B54,"0.0"),"-",TEXT(Input!B56,"0.0"),"-",TEXT(Input!B58,"0.0"),"-",TEXT(Input!B60,"0.0")),IF(Input!$F$26&gt;4,CONCATENATE(TEXT(Input!B54,"0.0"),"-",TEXT(Input!B56,"0.0"),"-",TEXT(Input!B58,"0.0"),"-",TEXT(Input!B60,"0.0"),"-",TEXT(Input!B62,"0.0"),),0)))))</f>
        <v>50.0-50.0-50.0</v>
      </c>
      <c r="G25" s="1200"/>
      <c r="H25" s="1200"/>
      <c r="I25" s="1175">
        <f>IF($I$16,CONCATENATE(TEXT(Input!D99,"0.000")," ",Input!S99),0)</f>
        <v>0</v>
      </c>
      <c r="J25" s="1176"/>
      <c r="K25" s="1175">
        <f>IF($K$16,CONCATENATE(Input!G99," ",Input!S99),0)</f>
        <v>0</v>
      </c>
      <c r="L25" s="1176"/>
      <c r="M25" s="1175">
        <f>IF($M$16,CONCATENATE(Input!J99," ",Input!S99),0)</f>
        <v>0</v>
      </c>
      <c r="N25" s="1176"/>
      <c r="O25" s="1175">
        <f>IF($O$16,CONCATENATE(Input!M99," ",Input!S99),0)</f>
        <v>0</v>
      </c>
      <c r="P25" s="1176"/>
      <c r="Q25" s="1175">
        <f>IF($Q$16,CONCATENATE(Input!P99," ",Input!S99),0)</f>
        <v>0</v>
      </c>
      <c r="R25" s="1176"/>
      <c r="S25" s="1183"/>
      <c r="T25" s="1198"/>
    </row>
    <row r="26" spans="1:20" ht="9.75" customHeight="1">
      <c r="A26" s="72"/>
      <c r="B26" s="72"/>
      <c r="C26" s="72"/>
      <c r="D26" s="1199" t="s">
        <v>1002</v>
      </c>
      <c r="E26" s="1199"/>
      <c r="F26" s="1200">
        <f>IF(Input!$F$26=6,TEXT(Input!B64,"0.0"),IF(Input!$F$26=7,CONCATENATE(TEXT(Input!B64,"0.0"),"-",TEXT(Input!B66,"0.0")),IF(Input!$F$26=8,CONCATENATE(TEXT(Input!B64,"0.0"),"-",TEXT(Input!B66,"0.0"),"-",TEXT(Input!B68,"0.0")),IF(Input!$F$26=9,CONCATENATE(TEXT(Input!B64,"0.0"),"-",TEXT(Input!B66,"0.0"),"-",TEXT(Input!B68,"0.0"),"-",TEXT(Input!B70,"0.0")),IF(Input!$F$26&gt;9,CONCATENATE(TEXT(Input!B64,"0.0"),"-",TEXT(Input!B66,"0.0"),"-",TEXT(Input!B68,"0.0"),"-",TEXT(Input!B70,"0.0"),"-",TEXT(Input!B72,"0.0"),),0)))))</f>
        <v>0</v>
      </c>
      <c r="G26" s="1200"/>
      <c r="H26" s="1200"/>
      <c r="I26" s="1175">
        <f>IF($I$16,TEXT(Input!D100,"0.000"),0)</f>
        <v>0</v>
      </c>
      <c r="J26" s="1176"/>
      <c r="K26" s="1175">
        <f>IF($K$16,Input!G100,0)</f>
        <v>0</v>
      </c>
      <c r="L26" s="1176"/>
      <c r="M26" s="1175">
        <f>IF($M$16,Input!J100,0)</f>
        <v>0</v>
      </c>
      <c r="N26" s="1176"/>
      <c r="O26" s="1175">
        <f>IF($O$16,Input!M100,0)</f>
        <v>0</v>
      </c>
      <c r="P26" s="1176"/>
      <c r="Q26" s="1175">
        <f>IF($Q$16,Input!P100,0)</f>
        <v>0</v>
      </c>
      <c r="R26" s="1176"/>
      <c r="S26" s="1183"/>
      <c r="T26" s="1198"/>
    </row>
    <row r="27" spans="1:20" ht="9.75" customHeight="1">
      <c r="A27" s="72"/>
      <c r="B27" s="72"/>
      <c r="C27" s="72"/>
      <c r="D27" s="1199" t="s">
        <v>74</v>
      </c>
      <c r="E27" s="1199"/>
      <c r="F27" s="1200">
        <f>IF(Input!$F$26=11,TEXT(Input!B74,"0.0"),IF(Input!$F$26=12,CONCATENATE(TEXT(Input!B74,"0.0"),"-",TEXT(Input!B76,"0.0")),IF(Input!$F$26=13,CONCATENATE(TEXT(Input!B74,"0.0"),"-",TEXT(Input!B76,"0.0"),"-",TEXT(Input!B78,"0.0")),IF(Input!$F$26=14,CONCATENATE(TEXT(Input!B74,"0.0"),"-",TEXT(Input!B76,"0.0"),"-",TEXT(Input!B78,"0.0"),"-",TEXT(Input!B80,"0.0")),IF(Input!$F$26&gt;14,CONCATENATE(TEXT(Input!B74,"0.0"),"-",TEXT(Input!B76,"0.0"),"-",TEXT(Input!B78,"0.0"),"-",TEXT(Input!B80,"0.0"),"-",TEXT(Input!B82,"0.0"),),0)))))</f>
        <v>0</v>
      </c>
      <c r="G27" s="1200"/>
      <c r="H27" s="1200"/>
      <c r="I27" s="1175">
        <f>IF($I$16,CONCATENATE(TEXT(Input!D101,"0.000")," ",Input!S101),0)</f>
        <v>0</v>
      </c>
      <c r="J27" s="1176"/>
      <c r="K27" s="1175">
        <f>IF($K$16,CONCATENATE(Input!G101," ",Input!S101),0)</f>
        <v>0</v>
      </c>
      <c r="L27" s="1176"/>
      <c r="M27" s="1175">
        <f>IF($M$16,CONCATENATE(Input!J101," ",Input!S101),0)</f>
        <v>0</v>
      </c>
      <c r="N27" s="1176"/>
      <c r="O27" s="1175">
        <f>IF($O$16,CONCATENATE(Input!M101," ",Input!S101),0)</f>
        <v>0</v>
      </c>
      <c r="P27" s="1176"/>
      <c r="Q27" s="1175">
        <f>IF($Q$16,CONCATENATE(Input!P101," ",Input!S101),0)</f>
        <v>0</v>
      </c>
      <c r="R27" s="1176"/>
      <c r="S27" s="1183"/>
      <c r="T27" s="1198"/>
    </row>
    <row r="28" spans="1:20" ht="9.75" customHeight="1">
      <c r="A28" s="72"/>
      <c r="B28" s="72"/>
      <c r="C28" s="72"/>
      <c r="D28" s="1199" t="s">
        <v>1003</v>
      </c>
      <c r="E28" s="1199"/>
      <c r="F28" s="1200">
        <f>IF(Input!$F$26=16,TEXT(Input!I54,"0.0"),IF(Input!$F$26=17,CONCATENATE(TEXT(Input!I54,"0.0"),"-",TEXT(Input!I56,"0.0")),IF(Input!$F$26=18,CONCATENATE(TEXT(Input!I54,"0.0"),"-",TEXT(Input!I56,"0.0"),"-",TEXT(Input!I58,"0.0")),IF(Input!$F$26=19,CONCATENATE(TEXT(Input!I54,"0.0"),"-",TEXT(Input!I56,"0.0"),"-",TEXT(Input!I58,"0.0"),"-",TEXT(Input!I60,"0.0")),IF(Input!$F$26&gt;19,CONCATENATE(TEXT(Input!I54,"0.0"),"-",TEXT(Input!I56,"0.0"),"-",TEXT(Input!I58,"0.0"),"-",TEXT(Input!I60,"0.0"),"-",TEXT(Input!I62,"0.0"),),0)))))</f>
        <v>0</v>
      </c>
      <c r="G28" s="1200"/>
      <c r="H28" s="1200"/>
      <c r="I28" s="1175">
        <f>IF($I$16,TEXT(Input!D102,"0.000"),0)</f>
        <v>0</v>
      </c>
      <c r="J28" s="1176"/>
      <c r="K28" s="1175">
        <f>IF($K$16,Input!G102,0)</f>
        <v>0</v>
      </c>
      <c r="L28" s="1176"/>
      <c r="M28" s="1175">
        <f>IF($M$16,Input!J102,0)</f>
        <v>0</v>
      </c>
      <c r="N28" s="1176"/>
      <c r="O28" s="1175">
        <f>IF($O$16,Input!M102,0)</f>
        <v>0</v>
      </c>
      <c r="P28" s="1176"/>
      <c r="Q28" s="1175">
        <f>IF($Q$16,Input!P102,0)</f>
        <v>0</v>
      </c>
      <c r="R28" s="1176"/>
      <c r="S28" s="1183"/>
      <c r="T28" s="1198"/>
    </row>
    <row r="29" spans="1:20" ht="9.75" customHeight="1">
      <c r="A29" s="72"/>
      <c r="B29" s="72"/>
      <c r="C29" s="72"/>
      <c r="D29" s="1199" t="s">
        <v>2334</v>
      </c>
      <c r="E29" s="1199"/>
      <c r="F29" s="1200">
        <f>IF(Input!$F$26=21,TEXT(Input!I64,"0.0"),IF(Input!$F$26=22,CONCATENATE(TEXT(Input!I64,"0.0"),"-",TEXT(Input!I66,"0.0")),IF(Input!$F$26=23,CONCATENATE(TEXT(Input!I64,"0.0"),"-",TEXT(Input!I66,"0.0"),"-",TEXT(Input!I68,"0.0")),IF(Input!$F$26=24,CONCATENATE(TEXT(Input!I64,"0.0"),"-",TEXT(Input!I66,"0.0"),"-",TEXT(Input!I68,"0.0"),"-",TEXT(Input!I70,"0.0")),IF(Input!$F$26&gt;24,CONCATENATE(TEXT(Input!I64,"0.0"),"-",TEXT(Input!I66,"0.0"),"-",TEXT(Input!I68,"0.0"),"-",TEXT(Input!I70,"0.0"),"-",TEXT(Input!I72,"0.0"),),0)))))</f>
        <v>0</v>
      </c>
      <c r="G29" s="1200"/>
      <c r="H29" s="1200"/>
      <c r="I29" s="1175">
        <f>IF($I$16,CONCATENATE(TEXT(Input!D103,"0.000")," ",Input!S103),0)</f>
        <v>0</v>
      </c>
      <c r="J29" s="1176"/>
      <c r="K29" s="1175">
        <f>IF($K$16,CONCATENATE(Input!G103," ",Input!S103),0)</f>
        <v>0</v>
      </c>
      <c r="L29" s="1176"/>
      <c r="M29" s="1175">
        <f>IF($M$16,CONCATENATE(Input!J103," ",Input!S103),0)</f>
        <v>0</v>
      </c>
      <c r="N29" s="1176"/>
      <c r="O29" s="1175">
        <f>IF($O$16,CONCATENATE(Input!M103," ",Input!S103),0)</f>
        <v>0</v>
      </c>
      <c r="P29" s="1176"/>
      <c r="Q29" s="1175">
        <f>IF($Q$16,CONCATENATE(Input!P103," ",Input!S103),0)</f>
        <v>0</v>
      </c>
      <c r="R29" s="1176"/>
      <c r="S29" s="1183"/>
      <c r="T29" s="1198"/>
    </row>
    <row r="30" spans="1:20" ht="9.75" customHeight="1">
      <c r="A30" s="72"/>
      <c r="B30" s="72"/>
      <c r="C30" s="72"/>
      <c r="D30" s="1199" t="s">
        <v>2335</v>
      </c>
      <c r="E30" s="1199"/>
      <c r="F30" s="1200">
        <f>IF(Input!$F$26=26,TEXT(Input!I74,"0.0"),IF(Input!$F$26=27,CONCATENATE(TEXT(Input!I74,"0.0"),"-",TEXT(Input!I76,"0.0")),IF(Input!$F$26=28,CONCATENATE(TEXT(Input!I74,"0.0"),"-",TEXT(Input!I76,"0.0"),"-",TEXT(Input!I78,"0.0")),IF(Input!$F$26=29,CONCATENATE(TEXT(Input!I74,"0.0"),"-",TEXT(Input!I76,"0.0"),"-",TEXT(Input!I78,"0.0"),"-",TEXT(Input!I80,"0.0")),IF(Input!$F$26&gt;29,CONCATENATE(TEXT(Input!I74,"0.0"),"-",TEXT(Input!I76,"0.0"),"-",TEXT(Input!I78,"0.0"),"-",TEXT(Input!I80,"0.0"),"-",TEXT(Input!I82,"0.0"),),0)))))</f>
        <v>0</v>
      </c>
      <c r="G30" s="1200"/>
      <c r="H30" s="1200"/>
      <c r="I30" s="1175">
        <f>IF($I$16,CONCATENATE(Input!D104," ",Input!E104),0)</f>
        <v>0</v>
      </c>
      <c r="J30" s="1176"/>
      <c r="K30" s="1175">
        <f>IF($K$16,CONCATENATE(Input!G104," ",Input!H104),0)</f>
        <v>0</v>
      </c>
      <c r="L30" s="1176"/>
      <c r="M30" s="1175">
        <f>IF($M$16,CONCATENATE(Input!J104," ",Input!K104),0)</f>
        <v>0</v>
      </c>
      <c r="N30" s="1176"/>
      <c r="O30" s="1175">
        <f>IF($O$16,CONCATENATE(Input!M104," ",Input!N104),0)</f>
        <v>0</v>
      </c>
      <c r="P30" s="1176"/>
      <c r="Q30" s="1175">
        <f>IF($Q$16,CONCATENATE(Input!P104," ",Input!Q104),0)</f>
        <v>0</v>
      </c>
      <c r="R30" s="1176"/>
      <c r="S30" s="1183"/>
      <c r="T30" s="1198"/>
    </row>
    <row r="31" ht="9.75" customHeight="1"/>
    <row r="32" spans="1:20" ht="9.75" customHeight="1">
      <c r="A32" s="1179" t="s">
        <v>2344</v>
      </c>
      <c r="B32" s="1179"/>
      <c r="C32" s="1179"/>
      <c r="D32" s="1179"/>
      <c r="E32" s="1179"/>
      <c r="F32" s="1179"/>
      <c r="S32" s="1178" t="s">
        <v>1727</v>
      </c>
      <c r="T32" s="1178"/>
    </row>
    <row r="33" spans="1:20" ht="9.75" customHeight="1">
      <c r="A33" s="1177" t="s">
        <v>2345</v>
      </c>
      <c r="B33" s="1177"/>
      <c r="C33" s="69" t="s">
        <v>843</v>
      </c>
      <c r="D33" s="1177" t="s">
        <v>2346</v>
      </c>
      <c r="E33" s="1177"/>
      <c r="F33" s="1177"/>
      <c r="G33" s="1177"/>
      <c r="I33" s="1177"/>
      <c r="J33" s="1177"/>
      <c r="K33" s="1177"/>
      <c r="L33" s="1177"/>
      <c r="M33" s="1177"/>
      <c r="N33" s="1177"/>
      <c r="O33" s="1177"/>
      <c r="P33" s="1177"/>
      <c r="Q33" s="1177"/>
      <c r="R33" s="1177"/>
      <c r="S33" s="1178" t="s">
        <v>2803</v>
      </c>
      <c r="T33" s="1178"/>
    </row>
    <row r="34" spans="1:20" ht="9.75" customHeight="1">
      <c r="A34" s="1182">
        <f>IF('Bridge Quantities'!Z38,'Bridge Quantities'!Z2,IF('TC 66-100 (Culvert Est.)'!C82,'Bridge Quantities'!Z2,0))</f>
        <v>0</v>
      </c>
      <c r="B34" s="1164"/>
      <c r="C34" s="77">
        <f>IF('Bridge Quantities'!Z38,'Bridge Quantities'!Z4,IF('TC 66-100 (Culvert Est.)'!C82,'Bridge Quantities'!Z4,0))</f>
        <v>0</v>
      </c>
      <c r="D34" s="1166">
        <f>IF('Bridge Quantities'!Z38,'Bridge Quantities'!Z3,IF('TC 66-100 (Culvert Est.)'!C82,'Bridge Quantities'!Z3,0))</f>
        <v>0</v>
      </c>
      <c r="E34" s="1166"/>
      <c r="F34" s="1166"/>
      <c r="G34" s="1166"/>
      <c r="H34" s="79">
        <f>IF('Bridge Quantities'!Z38,'Bridge Quantities'!Z38,0)</f>
        <v>0</v>
      </c>
      <c r="I34" s="1175">
        <f>IF(Input!C111,Input!C111,0)</f>
        <v>0</v>
      </c>
      <c r="J34" s="1176"/>
      <c r="K34" s="1175">
        <f>IF(Input!C112,Input!C112,0)</f>
        <v>0</v>
      </c>
      <c r="L34" s="1176"/>
      <c r="M34" s="1175">
        <f>IF(Input!C113,Input!C113,0)</f>
        <v>0</v>
      </c>
      <c r="N34" s="1176"/>
      <c r="O34" s="1175">
        <f>IF(Input!C114,Input!C114,0)</f>
        <v>0</v>
      </c>
      <c r="P34" s="1176"/>
      <c r="Q34" s="1175">
        <f>IF(Input!C115,Input!C115,0)</f>
        <v>0</v>
      </c>
      <c r="R34" s="1176"/>
      <c r="S34" s="1207">
        <f aca="true" t="shared" si="0" ref="S34:S57">SUM(H34:R34)</f>
        <v>0</v>
      </c>
      <c r="T34" s="1208"/>
    </row>
    <row r="35" spans="1:20" ht="9.75" customHeight="1">
      <c r="A35" s="1182">
        <f>IF('Bridge Quantities'!AA38,'Bridge Quantities'!AA2,IF('Bridge Quantities'!AB38,'Bridge Quantities'!AB2,IF('Bridge Quantities'!AC38,'Bridge Quantities'!AC2,0)))</f>
        <v>0</v>
      </c>
      <c r="B35" s="1164"/>
      <c r="C35" s="77">
        <f>IF('Bridge Quantities'!AA38,'Bridge Quantities'!AA4,IF('Bridge Quantities'!AB38,'Bridge Quantities'!AB4,IF('Bridge Quantities'!AC38,'Bridge Quantities'!AC4,0)))</f>
        <v>0</v>
      </c>
      <c r="D35" s="1166">
        <f>IF('Bridge Quantities'!AA38,'Bridge Quantities'!AA3,IF('Bridge Quantities'!AB38,'Bridge Quantities'!AB3,IF('Bridge Quantities'!AC38,'Bridge Quantities'!AC3,0)))</f>
        <v>0</v>
      </c>
      <c r="E35" s="1166"/>
      <c r="F35" s="1166"/>
      <c r="G35" s="1166"/>
      <c r="H35" s="79">
        <f>IF('Bridge Quantities'!AA38,'Bridge Quantities'!AA38,IF('Bridge Quantities'!AB38,'Bridge Quantities'!AB38,IF('Bridge Quantities'!AC38,'Bridge Quantities'!AC38,0)))</f>
        <v>0</v>
      </c>
      <c r="I35" s="1205"/>
      <c r="J35" s="1206"/>
      <c r="K35" s="1205"/>
      <c r="L35" s="1206"/>
      <c r="M35" s="1205"/>
      <c r="N35" s="1206"/>
      <c r="O35" s="1205"/>
      <c r="P35" s="1206"/>
      <c r="Q35" s="1205"/>
      <c r="R35" s="1206"/>
      <c r="S35" s="1207">
        <f t="shared" si="0"/>
        <v>0</v>
      </c>
      <c r="T35" s="1208"/>
    </row>
    <row r="36" spans="1:20" ht="9.75" customHeight="1">
      <c r="A36" s="1182">
        <f>IF('Bridge Quantities'!AD38,'Bridge Quantities'!AD2,IF('TC 66-100 (Culvert Est.)'!D82,'Bridge Quantities'!AD2,0))</f>
        <v>0</v>
      </c>
      <c r="B36" s="1164"/>
      <c r="C36" s="77">
        <f>IF('Bridge Quantities'!AD38,'Bridge Quantities'!AD4,IF('TC 66-100 (Culvert Est.)'!D82,'Bridge Quantities'!AD4,0))</f>
        <v>0</v>
      </c>
      <c r="D36" s="1166">
        <f>IF('Bridge Quantities'!AD38,'Bridge Quantities'!AD3,IF('TC 66-100 (Culvert Est.)'!D82,'Bridge Quantities'!AD3,0))</f>
        <v>0</v>
      </c>
      <c r="E36" s="1166"/>
      <c r="F36" s="1166"/>
      <c r="G36" s="1166"/>
      <c r="H36" s="79">
        <f>IF('Bridge Quantities'!AD38,'Bridge Quantities'!AD38,0)</f>
        <v>0</v>
      </c>
      <c r="I36" s="1175">
        <f>IF(Input!D111,Input!D111,0)</f>
        <v>0</v>
      </c>
      <c r="J36" s="1176"/>
      <c r="K36" s="1175">
        <f>IF(Input!D112,Input!D112,0)</f>
        <v>0</v>
      </c>
      <c r="L36" s="1176"/>
      <c r="M36" s="1175">
        <f>IF(Input!D113,Input!D113,0)</f>
        <v>0</v>
      </c>
      <c r="N36" s="1176"/>
      <c r="O36" s="1175">
        <f>IF(Input!D114,Input!D114,0)</f>
        <v>0</v>
      </c>
      <c r="P36" s="1176"/>
      <c r="Q36" s="1175">
        <f>IF(Input!D115,Input!D115,0)</f>
        <v>0</v>
      </c>
      <c r="R36" s="1176"/>
      <c r="S36" s="1207">
        <f t="shared" si="0"/>
        <v>0</v>
      </c>
      <c r="T36" s="1208"/>
    </row>
    <row r="37" spans="1:20" ht="9.75" customHeight="1">
      <c r="A37" s="1182">
        <f>IF('Bridge Quantities'!AE38,'Bridge Quantities'!AE2,0)</f>
        <v>0</v>
      </c>
      <c r="B37" s="1164"/>
      <c r="C37" s="77">
        <f>IF('Bridge Quantities'!AE38,'Bridge Quantities'!AD4,0)</f>
        <v>0</v>
      </c>
      <c r="D37" s="1166">
        <f>IF('Bridge Quantities'!AE38,'Bridge Quantities'!AE3,0)</f>
        <v>0</v>
      </c>
      <c r="E37" s="1166"/>
      <c r="F37" s="1166"/>
      <c r="G37" s="1166"/>
      <c r="H37" s="79">
        <f>IF('Bridge Quantities'!AE38,'Bridge Quantities'!AE38,0)</f>
        <v>0</v>
      </c>
      <c r="I37" s="1205"/>
      <c r="J37" s="1206"/>
      <c r="K37" s="1205"/>
      <c r="L37" s="1206"/>
      <c r="M37" s="1205"/>
      <c r="N37" s="1206"/>
      <c r="O37" s="1205"/>
      <c r="P37" s="1206"/>
      <c r="Q37" s="1205"/>
      <c r="R37" s="1206"/>
      <c r="S37" s="1207">
        <f t="shared" si="0"/>
        <v>0</v>
      </c>
      <c r="T37" s="1208"/>
    </row>
    <row r="38" spans="1:20" ht="9.75" customHeight="1">
      <c r="A38" s="1182">
        <f>IF('Bridge Quantities'!P38,'Bridge Quantities'!P2,IF('TC 66-100 (Culvert Est.)'!G82,'Bridge Quantities'!P2,0))</f>
        <v>0</v>
      </c>
      <c r="B38" s="1164"/>
      <c r="C38" s="77">
        <f>IF('Bridge Quantities'!P38,'Bridge Quantities'!P4,IF('TC 66-100 (Culvert Est.)'!G82,'Bridge Quantities'!P4,0))</f>
        <v>0</v>
      </c>
      <c r="D38" s="1166">
        <f>IF('Bridge Quantities'!P38,'Bridge Quantities'!P3,IF('TC 66-100 (Culvert Est.)'!G82,'Bridge Quantities'!P3,0))</f>
        <v>0</v>
      </c>
      <c r="E38" s="1166"/>
      <c r="F38" s="1166"/>
      <c r="G38" s="1166"/>
      <c r="H38" s="79">
        <f>IF('Bridge Quantities'!P38,'Bridge Quantities'!P38,0)</f>
        <v>0</v>
      </c>
      <c r="I38" s="1175">
        <f>Input!G111</f>
        <v>0</v>
      </c>
      <c r="J38" s="1176"/>
      <c r="K38" s="1175">
        <f>Input!G112</f>
        <v>0</v>
      </c>
      <c r="L38" s="1176"/>
      <c r="M38" s="1175">
        <f>Input!G113</f>
        <v>0</v>
      </c>
      <c r="N38" s="1176"/>
      <c r="O38" s="1175">
        <f>Input!G114</f>
        <v>0</v>
      </c>
      <c r="P38" s="1176"/>
      <c r="Q38" s="1175">
        <f>Input!G115</f>
        <v>0</v>
      </c>
      <c r="R38" s="1176"/>
      <c r="S38" s="1207">
        <f t="shared" si="0"/>
        <v>0</v>
      </c>
      <c r="T38" s="1208"/>
    </row>
    <row r="39" spans="1:20" ht="9.75" customHeight="1">
      <c r="A39" s="1182">
        <f>IF('Bridge Quantities'!O38,'Bridge Quantities'!O2,IF('TC 66-100 (Culvert Est.)'!F82,'Bridge Quantities'!O2,0))</f>
        <v>0</v>
      </c>
      <c r="B39" s="1164"/>
      <c r="C39" s="77">
        <f>IF('Bridge Quantities'!O38,'Bridge Quantities'!O4,IF('TC 66-100 (Culvert Est.)'!F82,'Bridge Quantities'!O4,0))</f>
        <v>0</v>
      </c>
      <c r="D39" s="1166">
        <f>IF('Bridge Quantities'!O38,'Bridge Quantities'!O3,IF('TC 66-100 (Culvert Est.)'!F82,'Bridge Quantities'!O3,0))</f>
        <v>0</v>
      </c>
      <c r="E39" s="1166"/>
      <c r="F39" s="1166"/>
      <c r="G39" s="1166"/>
      <c r="H39" s="79">
        <f>IF('Bridge Quantities'!O38,'Bridge Quantities'!O38,0)</f>
        <v>0</v>
      </c>
      <c r="I39" s="1175">
        <f>IF(Input!F111,Input!F111,0)</f>
        <v>0</v>
      </c>
      <c r="J39" s="1176"/>
      <c r="K39" s="1175">
        <f>IF(Input!F112,Input!F112,0)</f>
        <v>0</v>
      </c>
      <c r="L39" s="1176"/>
      <c r="M39" s="1175">
        <f>IF(Input!F113,Input!F113,0)</f>
        <v>0</v>
      </c>
      <c r="N39" s="1176"/>
      <c r="O39" s="1175">
        <f>IF(Input!F114,Input!F114,0)</f>
        <v>0</v>
      </c>
      <c r="P39" s="1176"/>
      <c r="Q39" s="1175">
        <f>IF(Input!F115,Input!F115,0)</f>
        <v>0</v>
      </c>
      <c r="R39" s="1176"/>
      <c r="S39" s="1207">
        <f t="shared" si="0"/>
        <v>0</v>
      </c>
      <c r="T39" s="1208"/>
    </row>
    <row r="40" spans="1:20" ht="9.75" customHeight="1">
      <c r="A40" s="1182">
        <f>IF('Bridge Quantities'!M38,'Bridge Quantities'!M2,IF('TC 66-100 (Culvert Est.)'!H82,'Bridge Quantities'!M2,0))</f>
        <v>0</v>
      </c>
      <c r="B40" s="1164"/>
      <c r="C40" s="77">
        <f>IF('Bridge Quantities'!M38,'Bridge Quantities'!M4,IF('TC 66-100 (Culvert Est.)'!H82,'Bridge Quantities'!M4,0))</f>
        <v>0</v>
      </c>
      <c r="D40" s="1166">
        <f>IF('Bridge Quantities'!M38,'Bridge Quantities'!M3,IF('TC 66-100 (Culvert Est.)'!H82,'Bridge Quantities'!M3,0))</f>
        <v>0</v>
      </c>
      <c r="E40" s="1166"/>
      <c r="F40" s="1166"/>
      <c r="G40" s="1166"/>
      <c r="H40" s="79">
        <f>IF('Bridge Quantities'!M38,'Bridge Quantities'!M38,0)</f>
        <v>0</v>
      </c>
      <c r="I40" s="1175">
        <f>IF(Input!H111,Input!H111,0)</f>
        <v>0</v>
      </c>
      <c r="J40" s="1176"/>
      <c r="K40" s="1175">
        <f>IF(Input!H112,Input!H112,0)</f>
        <v>0</v>
      </c>
      <c r="L40" s="1176"/>
      <c r="M40" s="1175">
        <f>IF(Input!H113,Input!H113,0)</f>
        <v>0</v>
      </c>
      <c r="N40" s="1176"/>
      <c r="O40" s="1175">
        <f>IF(Input!H114,Input!H114,0)</f>
        <v>0</v>
      </c>
      <c r="P40" s="1176"/>
      <c r="Q40" s="1175">
        <f>IF(Input!H115,Input!H115,0)</f>
        <v>0</v>
      </c>
      <c r="R40" s="1176"/>
      <c r="S40" s="1207">
        <f t="shared" si="0"/>
        <v>0</v>
      </c>
      <c r="T40" s="1208"/>
    </row>
    <row r="41" spans="1:20" ht="9.75" customHeight="1">
      <c r="A41" s="1182">
        <f>IF('Bridge Quantities'!AO38&gt;0,'Bridge Quantities'!AO2,IF('TC 66-100 (Culvert Est.)'!I82,Input!I108,0))</f>
        <v>0</v>
      </c>
      <c r="B41" s="1164"/>
      <c r="C41" s="77">
        <f>IF('Bridge Quantities'!AO38&gt;0,'Bridge Quantities'!AO4,IF('TC 66-100 (Culvert Est.)'!I82,Input!I110,0))</f>
        <v>0</v>
      </c>
      <c r="D41" s="1166">
        <f>IF('Bridge Quantities'!AO38&gt;0,'Bridge Quantities'!AO3,IF('TC 66-100 (Culvert Est.)'!I82,Input!I109,0))</f>
        <v>0</v>
      </c>
      <c r="E41" s="1166"/>
      <c r="F41" s="1166"/>
      <c r="G41" s="1166"/>
      <c r="H41" s="79">
        <f>IF('Bridge Quantities'!AO38,'Bridge Quantities'!AO38,0)</f>
        <v>0</v>
      </c>
      <c r="I41" s="1175">
        <f>IF(Input!I111,Input!I111,0)</f>
        <v>0</v>
      </c>
      <c r="J41" s="1176"/>
      <c r="K41" s="1175">
        <f>IF(Input!I112,Input!I112,0)</f>
        <v>0</v>
      </c>
      <c r="L41" s="1176"/>
      <c r="M41" s="1175">
        <f>IF(Input!I113,Input!I113,0)</f>
        <v>0</v>
      </c>
      <c r="N41" s="1176"/>
      <c r="O41" s="1175">
        <f>IF(Input!I114,Input!I114,0)</f>
        <v>0</v>
      </c>
      <c r="P41" s="1176"/>
      <c r="Q41" s="1175">
        <f>IF(Input!I115,Input!I115,0)</f>
        <v>0</v>
      </c>
      <c r="R41" s="1176"/>
      <c r="S41" s="1207">
        <f t="shared" si="0"/>
        <v>0</v>
      </c>
      <c r="T41" s="1208"/>
    </row>
    <row r="42" spans="1:20" ht="9.75" customHeight="1">
      <c r="A42" s="1182">
        <f>IF('Bridge Quantities'!AH38,'Bridge Quantities'!AH2,0)</f>
        <v>0</v>
      </c>
      <c r="B42" s="1164"/>
      <c r="C42" s="77">
        <f>IF('Bridge Quantities'!AH38,'Bridge Quantities'!AH4,0)</f>
        <v>0</v>
      </c>
      <c r="D42" s="1166">
        <f>IF('Bridge Quantities'!AH38,'Bridge Quantities'!AH3,0)</f>
        <v>0</v>
      </c>
      <c r="E42" s="1166"/>
      <c r="F42" s="1166"/>
      <c r="G42" s="1166"/>
      <c r="H42" s="79">
        <f>IF('Bridge Quantities'!AH38,'Bridge Quantities'!AH38,0)</f>
        <v>0</v>
      </c>
      <c r="I42" s="1170"/>
      <c r="J42" s="1170"/>
      <c r="K42" s="1170"/>
      <c r="L42" s="1170"/>
      <c r="M42" s="1170"/>
      <c r="N42" s="1170"/>
      <c r="O42" s="1170"/>
      <c r="P42" s="1170"/>
      <c r="Q42" s="1170"/>
      <c r="R42" s="1170"/>
      <c r="S42" s="1207">
        <f t="shared" si="0"/>
        <v>0</v>
      </c>
      <c r="T42" s="1208"/>
    </row>
    <row r="43" spans="1:20" ht="9.75" customHeight="1">
      <c r="A43" s="1182">
        <f>IF('Bridge Quantities'!AT38&gt;0,'Bridge Quantities'!AT2,IF('Bridge Quantities'!AU38&gt;0,'Bridge Quantities'!AU2,IF('Bridge Quantities'!AV38&gt;0,'Bridge Quantities'!AV2,IF('Bridge Quantities'!AW38&gt;0,'Bridge Quantities'!AW2,IF('Bridge Quantities'!AX38&gt;0,'Bridge Quantities'!AX2,IF('Bridge Quantities'!AY38&gt;0,'Bridge Quantities'!AY2,IF('Bridge Quantities'!AZ38&gt;0,'Bridge Quantities'!AZ2,IF('Bridge Quantities'!BA38&gt;0,'Bridge Quantities'!BA2,0))))))))</f>
        <v>0</v>
      </c>
      <c r="B43" s="1164"/>
      <c r="C43" s="78">
        <f>IF('Bridge Quantities'!AT38&gt;0,'Bridge Quantities'!AT4,IF('Bridge Quantities'!AU38&gt;0,'Bridge Quantities'!AU4,IF('Bridge Quantities'!AV38&gt;0,'Bridge Quantities'!AV4,IF('Bridge Quantities'!AW38&gt;0,'Bridge Quantities'!AW4,IF('Bridge Quantities'!AX38&gt;0,'Bridge Quantities'!AX4,IF('Bridge Quantities'!AY38&gt;0,'Bridge Quantities'!AY4,IF('Bridge Quantities'!AZ38&gt;0,'Bridge Quantities'!AZ4,IF('Bridge Quantities'!BA38&gt;0,'Bridge Quantities'!BA4,0))))))))</f>
        <v>0</v>
      </c>
      <c r="D43" s="1209">
        <f>IF('Bridge Quantities'!AT38&gt;0,'Bridge Quantities'!AT3,IF('Bridge Quantities'!AU38&gt;0,'Bridge Quantities'!AU3,IF('Bridge Quantities'!AV38&gt;0,'Bridge Quantities'!AV3,IF('Bridge Quantities'!AW38&gt;0,'Bridge Quantities'!AW3,IF('Bridge Quantities'!AX38&gt;0,'Bridge Quantities'!AX3,IF('Bridge Quantities'!AY38&gt;0,'Bridge Quantities'!AY3,IF('Bridge Quantities'!AZ38&gt;0,'Bridge Quantities'!AZ3,IF('Bridge Quantities'!BA38&gt;0,'Bridge Quantities'!BA3,0))))))))</f>
        <v>0</v>
      </c>
      <c r="E43" s="862"/>
      <c r="F43" s="862"/>
      <c r="G43" s="1210"/>
      <c r="H43" s="81">
        <f>IF('Bridge Quantities'!AT38&gt;0,'Bridge Quantities'!AT38,IF('Bridge Quantities'!AU38&gt;0,'Bridge Quantities'!AU38,IF('Bridge Quantities'!AV38&gt;0,'Bridge Quantities'!AV38,IF('Bridge Quantities'!AW38&gt;0,'Bridge Quantities'!AW38,IF('Bridge Quantities'!AX38&gt;0,'Bridge Quantities'!AX38,IF('Bridge Quantities'!AY38&gt;0,'Bridge Quantities'!AY38,IF('Bridge Quantities'!AZ38&gt;0,'Bridge Quantities'!AZ38,IF('Bridge Quantities'!BA38&gt;0,'Bridge Quantities'!BA38,0))))))))</f>
        <v>0</v>
      </c>
      <c r="I43" s="1170"/>
      <c r="J43" s="1170"/>
      <c r="K43" s="1170"/>
      <c r="L43" s="1170"/>
      <c r="M43" s="1170"/>
      <c r="N43" s="1170"/>
      <c r="O43" s="1170"/>
      <c r="P43" s="1170"/>
      <c r="Q43" s="1170"/>
      <c r="R43" s="1170"/>
      <c r="S43" s="1207">
        <f t="shared" si="0"/>
        <v>0</v>
      </c>
      <c r="T43" s="1208"/>
    </row>
    <row r="44" spans="1:20" ht="9.75" customHeight="1">
      <c r="A44" s="1217">
        <f>IF('Bridge Quantities'!BB38&gt;0,'Bridge Quantities'!BB2,IF('Bridge Quantities'!BC38&gt;0,'Bridge Quantities'!BC2,IF('Bridge Quantities'!BD38&gt;0,'Bridge Quantities'!BD2,IF('Bridge Quantities'!BE38&gt;0,'Bridge Quantities'!BE2,IF('Bridge Quantities'!BF38&gt;0,'Bridge Quantities'!BF2,IF('Bridge Quantities'!BG38&gt;0,'Bridge Quantities'!BG2,0))))))</f>
        <v>0</v>
      </c>
      <c r="B44" s="1218"/>
      <c r="C44" s="84">
        <f>IF('Bridge Quantities'!BB38&gt;0,'Bridge Quantities'!BB4,IF('Bridge Quantities'!BC38&gt;0,'Bridge Quantities'!BC4,IF('Bridge Quantities'!BD38&gt;0,'Bridge Quantities'!BD4,IF('Bridge Quantities'!BE38&gt;0,'Bridge Quantities'!BE4,IF('Bridge Quantities'!BF38&gt;0,'Bridge Quantities'!BF4,IF('Bridge Quantities'!BG38&gt;0,'Bridge Quantities'!BG4,0))))))</f>
        <v>0</v>
      </c>
      <c r="D44" s="1209">
        <f>IF('Bridge Quantities'!BB38&gt;0,'Bridge Quantities'!BB3,IF('Bridge Quantities'!BC38&gt;0,'Bridge Quantities'!BC3,IF('Bridge Quantities'!BD38&gt;0,'Bridge Quantities'!BD3,IF('Bridge Quantities'!BE38&gt;0,'Bridge Quantities'!BE3,IF('Bridge Quantities'!BF38&gt;0,'Bridge Quantities'!BF3,IF('Bridge Quantities'!BG38&gt;0,'Bridge Quantities'!BG3,0))))))</f>
        <v>0</v>
      </c>
      <c r="E44" s="862"/>
      <c r="F44" s="862"/>
      <c r="G44" s="1210"/>
      <c r="H44" s="79">
        <f>IF('Bridge Quantities'!BB38&gt;0,'Bridge Quantities'!BB38,IF('Bridge Quantities'!BC38&gt;0,'Bridge Quantities'!BC38,IF('Bridge Quantities'!BD38&gt;0,'Bridge Quantities'!BD38,IF('Bridge Quantities'!BE38&gt;0,'Bridge Quantities'!BE38,IF('Bridge Quantities'!BF38&gt;0,'Bridge Quantities'!BF6,IF('Bridge Quantities'!BG38&gt;0,'Bridge Quantities'!BG38,0))))))</f>
        <v>0</v>
      </c>
      <c r="I44" s="1170"/>
      <c r="J44" s="1170"/>
      <c r="K44" s="1170"/>
      <c r="L44" s="1170"/>
      <c r="M44" s="1170"/>
      <c r="N44" s="1170"/>
      <c r="O44" s="1170"/>
      <c r="P44" s="1170"/>
      <c r="Q44" s="1170"/>
      <c r="R44" s="1170"/>
      <c r="S44" s="1207">
        <f t="shared" si="0"/>
        <v>0</v>
      </c>
      <c r="T44" s="1208"/>
    </row>
    <row r="45" spans="1:20" ht="9.75" customHeight="1">
      <c r="A45" s="1182">
        <f>IF('Bridge Quantities'!BH38&gt;0,'Bridge Quantities'!BH2,IF('Bridge Quantities'!BI38&gt;0,'Bridge Quantities'!BI2,IF('Bridge Quantities'!BJ38&gt;0,'Bridge Quantities'!BJ2,IF('Bridge Quantities'!BK38&gt;0,'Bridge Quantities'!BK2,IF('Bridge Quantities'!BL38&gt;0,'Bridge Quantities'!BL2,IF('Bridge Quantities'!BM38&gt;0,'Bridge Quantities'!BM2,0))))))</f>
        <v>0</v>
      </c>
      <c r="B45" s="1164"/>
      <c r="C45" s="83">
        <f>IF('Bridge Quantities'!BH38&gt;0,'Bridge Quantities'!BH4,IF('Bridge Quantities'!BI38&gt;0,'Bridge Quantities'!BI4,IF('Bridge Quantities'!BJ38&gt;0,'Bridge Quantities'!BJ4,IF('Bridge Quantities'!BK38&gt;0,'Bridge Quantities'!BK4,IF('Bridge Quantities'!BL38&gt;0,'Bridge Quantities'!BL4,IF('Bridge Quantities'!BM38&gt;0,'Bridge Quantities'!BM4,0))))))</f>
        <v>0</v>
      </c>
      <c r="D45" s="1209">
        <f>IF('Bridge Quantities'!BH38&gt;0,'Bridge Quantities'!BH3,IF('Bridge Quantities'!BI38&gt;0,'Bridge Quantities'!BI3,IF('Bridge Quantities'!BJ38&gt;0,'Bridge Quantities'!BJ3,IF('Bridge Quantities'!BK38&gt;0,'Bridge Quantities'!BK3,IF('Bridge Quantities'!BL38&gt;0,'Bridge Quantities'!BL3,IF('Bridge Quantities'!BM38&gt;0,'Bridge Quantities'!BM3,0))))))</f>
        <v>0</v>
      </c>
      <c r="E45" s="862"/>
      <c r="F45" s="862"/>
      <c r="G45" s="1210"/>
      <c r="H45" s="82">
        <f>IF('Bridge Quantities'!BH38&gt;0,'Bridge Quantities'!BH38,IF('Bridge Quantities'!BI38&gt;0,'Bridge Quantities'!BI38,IF('Bridge Quantities'!BJ38&gt;0,'Bridge Quantities'!BJ38,IF('Bridge Quantities'!BK38&gt;0,'Bridge Quantities'!BK38,IF('Bridge Quantities'!BL38&gt;0,'Bridge Quantities'!BL38,IF('Bridge Quantities'!BM38&gt;0,'Bridge Quantities'!BM38,0))))))</f>
        <v>0</v>
      </c>
      <c r="I45" s="1170"/>
      <c r="J45" s="1170"/>
      <c r="K45" s="1170"/>
      <c r="L45" s="1170"/>
      <c r="M45" s="1170"/>
      <c r="N45" s="1170"/>
      <c r="O45" s="1170"/>
      <c r="P45" s="1170"/>
      <c r="Q45" s="1170"/>
      <c r="R45" s="1170"/>
      <c r="S45" s="1207">
        <f t="shared" si="0"/>
        <v>0</v>
      </c>
      <c r="T45" s="1208"/>
    </row>
    <row r="46" spans="1:20" ht="9.75" customHeight="1">
      <c r="A46" s="1211">
        <f>IF('Bridge Quantities'!BN38&gt;0,'Bridge Quantities'!BN2,IF('Bridge Quantities'!BO38&gt;0,'Bridge Quantities'!BO2,IF('Bridge Quantities'!BP38&gt;0,'Bridge Quantities'!BP2,IF('Bridge Quantities'!BQ38&gt;0,'Bridge Quantities'!BQ2,IF('Bridge Quantities'!BR38&gt;0,'Bridge Quantities'!BR2,IF('Bridge Quantities'!BS38&gt;0,'Bridge Quantities'!BS2,0))))))</f>
        <v>0</v>
      </c>
      <c r="B46" s="1212"/>
      <c r="C46" s="78">
        <f>IF('Bridge Quantities'!BN38&gt;0,'Bridge Quantities'!BN4,IF('Bridge Quantities'!BO38&gt;0,'Bridge Quantities'!BO4,IF('Bridge Quantities'!BP38&gt;0,'Bridge Quantities'!BP4,IF('Bridge Quantities'!BQ38&gt;0,'Bridge Quantities'!BQ4,IF('Bridge Quantities'!BR38&gt;0,'Bridge Quantities'!BR4,IF('Bridge Quantities'!BS38&gt;0,'Bridge Quantities'!BS4,0))))))</f>
        <v>0</v>
      </c>
      <c r="D46" s="1209">
        <f>IF('Bridge Quantities'!BN38&gt;0,'Bridge Quantities'!BN3,IF('Bridge Quantities'!BO38&gt;0,'Bridge Quantities'!BO3,IF('Bridge Quantities'!BP38&gt;0,'Bridge Quantities'!BP3,IF('Bridge Quantities'!BQ38&gt;0,'Bridge Quantities'!BQ3,IF('Bridge Quantities'!BR38&gt;0,'Bridge Quantities'!BR3,IF('Bridge Quantities'!BS38&gt;0,'Bridge Quantities'!BS3,0))))))</f>
        <v>0</v>
      </c>
      <c r="E46" s="862"/>
      <c r="F46" s="862"/>
      <c r="G46" s="1210"/>
      <c r="H46" s="79">
        <f>IF('Bridge Quantities'!BN38&gt;0,'Bridge Quantities'!BN38,IF('Bridge Quantities'!BO38&gt;0,'Bridge Quantities'!BO38,IF('Bridge Quantities'!BP38&gt;0,'Bridge Quantities'!BP38,IF('Bridge Quantities'!BQ38&gt;0,'Bridge Quantities'!BQ38,IF('Bridge Quantities'!BR38&gt;0,'Bridge Quantities'!BR38,IF('Bridge Quantities'!BS38&gt;0,'Bridge Quantities'!BS38,0))))))</f>
        <v>0</v>
      </c>
      <c r="I46" s="1170"/>
      <c r="J46" s="1170"/>
      <c r="K46" s="1170"/>
      <c r="L46" s="1170"/>
      <c r="M46" s="1170"/>
      <c r="N46" s="1170"/>
      <c r="O46" s="1170"/>
      <c r="P46" s="1170"/>
      <c r="Q46" s="1170"/>
      <c r="R46" s="1170"/>
      <c r="S46" s="1207">
        <f t="shared" si="0"/>
        <v>0</v>
      </c>
      <c r="T46" s="1208"/>
    </row>
    <row r="47" spans="1:20" ht="9.75" customHeight="1">
      <c r="A47" s="1182">
        <f>IF('Bridge Quantities'!T38,'Bridge Quantities'!T2,0)</f>
        <v>0</v>
      </c>
      <c r="B47" s="1164"/>
      <c r="C47" s="80">
        <f>IF('Bridge Quantities'!T38,'Bridge Quantities'!T4,0)</f>
        <v>0</v>
      </c>
      <c r="D47" s="1209">
        <f>IF('Bridge Quantities'!T38,'Bridge Quantities'!T3,0)</f>
        <v>0</v>
      </c>
      <c r="E47" s="862"/>
      <c r="F47" s="862"/>
      <c r="G47" s="1210"/>
      <c r="H47" s="82">
        <f>IF('Bridge Quantities'!T38,'Bridge Quantities'!T38,0)</f>
        <v>0</v>
      </c>
      <c r="I47" s="1170"/>
      <c r="J47" s="1170"/>
      <c r="K47" s="1170"/>
      <c r="L47" s="1170"/>
      <c r="M47" s="1170"/>
      <c r="N47" s="1170"/>
      <c r="O47" s="1170"/>
      <c r="P47" s="1170"/>
      <c r="Q47" s="1170"/>
      <c r="R47" s="1170"/>
      <c r="S47" s="1207">
        <f t="shared" si="0"/>
        <v>0</v>
      </c>
      <c r="T47" s="1208"/>
    </row>
    <row r="48" spans="1:20" ht="9.75" customHeight="1">
      <c r="A48" s="1182">
        <f>IF('Bridge Quantities'!U38,'Bridge Quantities'!U2,IF('Bridge Quantities'!W38,'Bridge Quantities'!W2,0))</f>
        <v>0</v>
      </c>
      <c r="B48" s="1164"/>
      <c r="C48" s="80">
        <f>IF('Bridge Quantities'!U38,'Bridge Quantities'!U4,IF('Bridge Quantities'!W38,'Bridge Quantities'!W4,0))</f>
        <v>0</v>
      </c>
      <c r="D48" s="1209">
        <f>IF('Bridge Quantities'!U38,'Bridge Quantities'!U3,IF('Bridge Quantities'!W38,'Bridge Quantities'!W3,0))</f>
        <v>0</v>
      </c>
      <c r="E48" s="862"/>
      <c r="F48" s="862"/>
      <c r="G48" s="1210"/>
      <c r="H48" s="82">
        <f>IF('Bridge Quantities'!U38,'Bridge Quantities'!U38,IF('Bridge Quantities'!W38,'Bridge Quantities'!W38,0))</f>
        <v>0</v>
      </c>
      <c r="I48" s="1170"/>
      <c r="J48" s="1170"/>
      <c r="K48" s="1170"/>
      <c r="L48" s="1170"/>
      <c r="M48" s="1170"/>
      <c r="N48" s="1170"/>
      <c r="O48" s="1170"/>
      <c r="P48" s="1170"/>
      <c r="Q48" s="1170"/>
      <c r="R48" s="1170"/>
      <c r="S48" s="1207">
        <f t="shared" si="0"/>
        <v>0</v>
      </c>
      <c r="T48" s="1208"/>
    </row>
    <row r="49" spans="1:20" ht="9.75" customHeight="1">
      <c r="A49" s="1182">
        <f>IF('Bridge Quantities'!V38,'Bridge Quantities'!V2,0)</f>
        <v>0</v>
      </c>
      <c r="B49" s="1164"/>
      <c r="C49" s="80">
        <f>IF('Bridge Quantities'!V38,'Bridge Quantities'!V4,0)</f>
        <v>0</v>
      </c>
      <c r="D49" s="1209">
        <f>IF('Bridge Quantities'!V38,'Bridge Quantities'!V3,0)</f>
        <v>0</v>
      </c>
      <c r="E49" s="862"/>
      <c r="F49" s="862"/>
      <c r="G49" s="1210"/>
      <c r="H49" s="82">
        <f>IF('Bridge Quantities'!V38,'Bridge Quantities'!V38,0)</f>
        <v>0</v>
      </c>
      <c r="I49" s="1170"/>
      <c r="J49" s="1170"/>
      <c r="K49" s="1170"/>
      <c r="L49" s="1170"/>
      <c r="M49" s="1170"/>
      <c r="N49" s="1170"/>
      <c r="O49" s="1170"/>
      <c r="P49" s="1170"/>
      <c r="Q49" s="1170"/>
      <c r="R49" s="1170"/>
      <c r="S49" s="1207">
        <f t="shared" si="0"/>
        <v>0</v>
      </c>
      <c r="T49" s="1208"/>
    </row>
    <row r="50" spans="1:20" ht="9.75" customHeight="1">
      <c r="A50" s="1182">
        <f>IF('Bridge Quantities'!S38,'Bridge Quantities'!S2,0)</f>
        <v>0</v>
      </c>
      <c r="B50" s="1164"/>
      <c r="C50" s="80">
        <f>IF('Bridge Quantities'!S38,'Bridge Quantities'!S4,0)</f>
        <v>0</v>
      </c>
      <c r="D50" s="1209">
        <f>IF('Bridge Quantities'!S38,'Bridge Quantities'!S3,0)</f>
        <v>0</v>
      </c>
      <c r="E50" s="862"/>
      <c r="F50" s="862"/>
      <c r="G50" s="1210"/>
      <c r="H50" s="82">
        <f>IF('Bridge Quantities'!S38,'Bridge Quantities'!S38,0)</f>
        <v>0</v>
      </c>
      <c r="I50" s="1170"/>
      <c r="J50" s="1170"/>
      <c r="K50" s="1170"/>
      <c r="L50" s="1170"/>
      <c r="M50" s="1170"/>
      <c r="N50" s="1170"/>
      <c r="O50" s="1170"/>
      <c r="P50" s="1170"/>
      <c r="Q50" s="1170"/>
      <c r="R50" s="1170"/>
      <c r="S50" s="1207">
        <f t="shared" si="0"/>
        <v>0</v>
      </c>
      <c r="T50" s="1208"/>
    </row>
    <row r="51" spans="1:20" ht="9.75" customHeight="1">
      <c r="A51" s="1182">
        <f>IF('Bridge Quantities'!X38,'Bridge Quantities'!X2,0)</f>
        <v>0</v>
      </c>
      <c r="B51" s="1164"/>
      <c r="C51" s="80">
        <f>IF('Bridge Quantities'!X38,'Bridge Quantities'!X4,0)</f>
        <v>0</v>
      </c>
      <c r="D51" s="1209">
        <f>IF('Bridge Quantities'!X38,'Bridge Quantities'!X3,0)</f>
        <v>0</v>
      </c>
      <c r="E51" s="862"/>
      <c r="F51" s="862"/>
      <c r="G51" s="1210"/>
      <c r="H51" s="82">
        <f>IF('Bridge Quantities'!X38,'Bridge Quantities'!X38,0)</f>
        <v>0</v>
      </c>
      <c r="I51" s="1170"/>
      <c r="J51" s="1170"/>
      <c r="K51" s="1170"/>
      <c r="L51" s="1170"/>
      <c r="M51" s="1170"/>
      <c r="N51" s="1170"/>
      <c r="O51" s="1170"/>
      <c r="P51" s="1170"/>
      <c r="Q51" s="1170"/>
      <c r="R51" s="1170"/>
      <c r="S51" s="1207">
        <f t="shared" si="0"/>
        <v>0</v>
      </c>
      <c r="T51" s="1208"/>
    </row>
    <row r="52" spans="1:20" ht="9.75" customHeight="1">
      <c r="A52" s="1182">
        <f>IF('Bridge Quantities'!Y38,'Bridge Quantities'!Y2,0)</f>
        <v>0</v>
      </c>
      <c r="B52" s="1164"/>
      <c r="C52" s="80">
        <f>IF('Bridge Quantities'!Y38,'Bridge Quantities'!Y4,0)</f>
        <v>0</v>
      </c>
      <c r="D52" s="1209">
        <f>IF('Bridge Quantities'!Y38,'Bridge Quantities'!Y3,0)</f>
        <v>0</v>
      </c>
      <c r="E52" s="862"/>
      <c r="F52" s="862"/>
      <c r="G52" s="1210"/>
      <c r="H52" s="82">
        <f>IF('Bridge Quantities'!Y38,'Bridge Quantities'!Y38,0)</f>
        <v>0</v>
      </c>
      <c r="I52" s="1170"/>
      <c r="J52" s="1170"/>
      <c r="K52" s="1170"/>
      <c r="L52" s="1170"/>
      <c r="M52" s="1170"/>
      <c r="N52" s="1170"/>
      <c r="O52" s="1170"/>
      <c r="P52" s="1170"/>
      <c r="Q52" s="1170"/>
      <c r="R52" s="1170"/>
      <c r="S52" s="1207">
        <f t="shared" si="0"/>
        <v>0</v>
      </c>
      <c r="T52" s="1208"/>
    </row>
    <row r="53" spans="1:20" ht="9.75" customHeight="1">
      <c r="A53" s="1182">
        <f>IF('Bridge Quantities'!D38,'Bridge Quantities'!D2,IF('Bridge Quantities'!E38,'Bridge Quantities'!E2,0))</f>
        <v>0</v>
      </c>
      <c r="B53" s="1164"/>
      <c r="C53" s="83">
        <f>IF('Bridge Quantities'!D38,'Bridge Quantities'!D4,IF('Bridge Quantities'!E38,'Bridge Quantities'!E4,0))</f>
        <v>0</v>
      </c>
      <c r="D53" s="1209">
        <f>IF('Bridge Quantities'!D38,'Bridge Quantities'!D3,IF('Bridge Quantities'!E38,'Bridge Quantities'!E3,0))</f>
        <v>0</v>
      </c>
      <c r="E53" s="862"/>
      <c r="F53" s="862"/>
      <c r="G53" s="1210"/>
      <c r="H53" s="82">
        <f>IF('Bridge Quantities'!D38,'Bridge Quantities'!D38,IF('Bridge Quantities'!E38,'Bridge Quantities'!E38,0))</f>
        <v>0</v>
      </c>
      <c r="I53" s="1170"/>
      <c r="J53" s="1170"/>
      <c r="K53" s="1170"/>
      <c r="L53" s="1170"/>
      <c r="M53" s="1170"/>
      <c r="N53" s="1170"/>
      <c r="O53" s="1170"/>
      <c r="P53" s="1170"/>
      <c r="Q53" s="1170"/>
      <c r="R53" s="1170"/>
      <c r="S53" s="1207">
        <f t="shared" si="0"/>
        <v>0</v>
      </c>
      <c r="T53" s="1208"/>
    </row>
    <row r="54" spans="1:20" ht="9.75" customHeight="1">
      <c r="A54" s="1182">
        <f>IF('Bridge Quantities'!C38,'Bridge Quantities'!C2,0)</f>
        <v>0</v>
      </c>
      <c r="B54" s="1164"/>
      <c r="C54" s="83">
        <f>IF('Bridge Quantities'!C38,'Bridge Quantities'!C4,0)</f>
        <v>0</v>
      </c>
      <c r="D54" s="1209">
        <f>IF('Bridge Quantities'!C38,'Bridge Quantities'!C3,0)</f>
        <v>0</v>
      </c>
      <c r="E54" s="862"/>
      <c r="F54" s="862"/>
      <c r="G54" s="1210"/>
      <c r="H54" s="82">
        <f>IF('Bridge Quantities'!C38,'Bridge Quantities'!C38,0)</f>
        <v>0</v>
      </c>
      <c r="I54" s="1170"/>
      <c r="J54" s="1170"/>
      <c r="K54" s="1170"/>
      <c r="L54" s="1170"/>
      <c r="M54" s="1170"/>
      <c r="N54" s="1170"/>
      <c r="O54" s="1170"/>
      <c r="P54" s="1170"/>
      <c r="Q54" s="1170"/>
      <c r="R54" s="1170"/>
      <c r="S54" s="1207">
        <f t="shared" si="0"/>
        <v>0</v>
      </c>
      <c r="T54" s="1208"/>
    </row>
    <row r="55" spans="1:20" ht="9.75" customHeight="1">
      <c r="A55" s="1182">
        <f>IF('Bridge Quantities'!F38,'Bridge Quantities'!F2,0)</f>
        <v>0</v>
      </c>
      <c r="B55" s="1164"/>
      <c r="C55" s="83">
        <f>IF('Bridge Quantities'!F38,'Bridge Quantities'!F4,0)</f>
        <v>0</v>
      </c>
      <c r="D55" s="1209">
        <f>IF('Bridge Quantities'!F38,'Bridge Quantities'!F3,0)</f>
        <v>0</v>
      </c>
      <c r="E55" s="862"/>
      <c r="F55" s="862"/>
      <c r="G55" s="1210"/>
      <c r="H55" s="82">
        <f>IF('Bridge Quantities'!F38,'Bridge Quantities'!F38,0)</f>
        <v>0</v>
      </c>
      <c r="I55" s="1170"/>
      <c r="J55" s="1170"/>
      <c r="K55" s="1170"/>
      <c r="L55" s="1170"/>
      <c r="M55" s="1170"/>
      <c r="N55" s="1170"/>
      <c r="O55" s="1170"/>
      <c r="P55" s="1170"/>
      <c r="Q55" s="1170"/>
      <c r="R55" s="1170"/>
      <c r="S55" s="1207">
        <f t="shared" si="0"/>
        <v>0</v>
      </c>
      <c r="T55" s="1208"/>
    </row>
    <row r="56" spans="1:20" ht="9.75" customHeight="1">
      <c r="A56" s="1182">
        <f>IF('Bridge Quantities'!G38,'Bridge Quantities'!G2,0)</f>
        <v>0</v>
      </c>
      <c r="B56" s="1164"/>
      <c r="C56" s="83">
        <f>IF('Bridge Quantities'!G38,'Bridge Quantities'!G4,0)</f>
        <v>0</v>
      </c>
      <c r="D56" s="1213">
        <f>IF('Bridge Quantities'!G38,'Bridge Quantities'!G3,0)</f>
        <v>0</v>
      </c>
      <c r="E56" s="864"/>
      <c r="F56" s="864"/>
      <c r="G56" s="1214"/>
      <c r="H56" s="82">
        <f>IF('Bridge Quantities'!G38,'Bridge Quantities'!G38,0)</f>
        <v>0</v>
      </c>
      <c r="I56" s="1170"/>
      <c r="J56" s="1170"/>
      <c r="K56" s="1170"/>
      <c r="L56" s="1170"/>
      <c r="M56" s="1170"/>
      <c r="N56" s="1170"/>
      <c r="O56" s="1170"/>
      <c r="P56" s="1170"/>
      <c r="Q56" s="1170"/>
      <c r="R56" s="1170"/>
      <c r="S56" s="1207">
        <f t="shared" si="0"/>
        <v>0</v>
      </c>
      <c r="T56" s="1208"/>
    </row>
    <row r="57" spans="1:20" ht="9.75" customHeight="1">
      <c r="A57" s="1182">
        <f>IF('TC 66-100 (Culvert Est.)'!J82,Input!J108,0)</f>
        <v>0</v>
      </c>
      <c r="B57" s="1164"/>
      <c r="C57" s="77">
        <f>IF('TC 66-100 (Culvert Est.)'!J82,Input!J110,0)</f>
        <v>0</v>
      </c>
      <c r="D57" s="1166">
        <f>IF('TC 66-100 (Culvert Est.)'!J82,Input!J109,0)</f>
        <v>0</v>
      </c>
      <c r="E57" s="1166"/>
      <c r="F57" s="1166"/>
      <c r="G57" s="1166"/>
      <c r="H57" s="312"/>
      <c r="I57" s="1175">
        <f>Input!J111</f>
        <v>0</v>
      </c>
      <c r="J57" s="1176"/>
      <c r="K57" s="1175">
        <f>Input!J112</f>
        <v>0</v>
      </c>
      <c r="L57" s="1176"/>
      <c r="M57" s="1175">
        <f>Input!J113</f>
        <v>0</v>
      </c>
      <c r="N57" s="1176"/>
      <c r="O57" s="1175">
        <f>Input!J114</f>
        <v>0</v>
      </c>
      <c r="P57" s="1176"/>
      <c r="Q57" s="1175">
        <f>Input!J115</f>
        <v>0</v>
      </c>
      <c r="R57" s="1176"/>
      <c r="S57" s="1207">
        <f t="shared" si="0"/>
        <v>0</v>
      </c>
      <c r="T57" s="1208"/>
    </row>
    <row r="58" spans="1:20" ht="9.75" customHeight="1">
      <c r="A58" s="1215" t="s">
        <v>1739</v>
      </c>
      <c r="B58" s="1215"/>
      <c r="C58" s="1215"/>
      <c r="D58" s="1215"/>
      <c r="E58" s="1215"/>
      <c r="F58" s="1215"/>
      <c r="G58" s="1215"/>
      <c r="H58" s="1215"/>
      <c r="I58" s="1215"/>
      <c r="J58" s="1215"/>
      <c r="K58" s="1215"/>
      <c r="L58" s="1215"/>
      <c r="M58" s="1215"/>
      <c r="N58" s="1215"/>
      <c r="O58" s="1215"/>
      <c r="P58" s="1215"/>
      <c r="Q58" s="1215"/>
      <c r="R58" s="1215"/>
      <c r="S58" s="1215"/>
      <c r="T58" s="1215"/>
    </row>
    <row r="59" spans="1:20" ht="9.75" customHeight="1">
      <c r="A59" s="1216" t="str">
        <f>CONCATENATE(IF(ISBLANK(Input!O45),"",Input!O45),IF(ISBLANK(Input!O47),"",CONCATENATE("; ",Input!O47)),IF(ISBLANK(Input!O49),"",CONCATENATE("; ",Input!O49)),IF(ISBLANK(Input!O51),"",CONCATENATE("; ",Input!O51)),IF(ISBLANK(Input!O53),"",CONCATENATE("; ",Input!O53)),IF(ISBLANK(Input!O55),"",CONCATENATE("; ",Input!O55)),IF(ISBLANK(Input!O554),"",CONCATENATE("; ",Input!O57)),IF(ISBLANK(Input!O59),"",CONCATENATE("; ",Input!O59)),IF(ISBLANK(Input!O61),"",CONCATENATE("; ",Input!O61)),IF(ISBLANK(Input!O63),"",CONCATENATE("; ",Input!O63)))</f>
        <v>Special Provision 69 (05) Embankment at Bridge End Bent Structures</v>
      </c>
      <c r="B59" s="1216"/>
      <c r="C59" s="1216"/>
      <c r="D59" s="1216"/>
      <c r="E59" s="1216"/>
      <c r="F59" s="1216"/>
      <c r="G59" s="1216"/>
      <c r="H59" s="1216"/>
      <c r="I59" s="1216"/>
      <c r="J59" s="1216"/>
      <c r="K59" s="1216"/>
      <c r="L59" s="1216"/>
      <c r="M59" s="1216"/>
      <c r="N59" s="1216"/>
      <c r="O59" s="1216"/>
      <c r="P59" s="1216"/>
      <c r="Q59" s="1216"/>
      <c r="R59" s="1216"/>
      <c r="S59" s="1216"/>
      <c r="T59" s="1216"/>
    </row>
    <row r="60" spans="1:20" ht="9.75" customHeight="1">
      <c r="A60" s="1216"/>
      <c r="B60" s="1216"/>
      <c r="C60" s="1216"/>
      <c r="D60" s="1216"/>
      <c r="E60" s="1216"/>
      <c r="F60" s="1216"/>
      <c r="G60" s="1216"/>
      <c r="H60" s="1216"/>
      <c r="I60" s="1216"/>
      <c r="J60" s="1216"/>
      <c r="K60" s="1216"/>
      <c r="L60" s="1216"/>
      <c r="M60" s="1216"/>
      <c r="N60" s="1216"/>
      <c r="O60" s="1216"/>
      <c r="P60" s="1216"/>
      <c r="Q60" s="1216"/>
      <c r="R60" s="1216"/>
      <c r="S60" s="1216"/>
      <c r="T60" s="1216"/>
    </row>
    <row r="61" spans="1:20" ht="9.75" customHeight="1">
      <c r="A61" s="1216"/>
      <c r="B61" s="1216"/>
      <c r="C61" s="1216"/>
      <c r="D61" s="1216"/>
      <c r="E61" s="1216"/>
      <c r="F61" s="1216"/>
      <c r="G61" s="1216"/>
      <c r="H61" s="1216"/>
      <c r="I61" s="1216"/>
      <c r="J61" s="1216"/>
      <c r="K61" s="1216"/>
      <c r="L61" s="1216"/>
      <c r="M61" s="1216"/>
      <c r="N61" s="1216"/>
      <c r="O61" s="1216"/>
      <c r="P61" s="1216"/>
      <c r="Q61" s="1216"/>
      <c r="R61" s="1216"/>
      <c r="S61" s="1216"/>
      <c r="T61" s="1216"/>
    </row>
    <row r="62" spans="1:20" ht="9.75" customHeight="1">
      <c r="A62" s="1216"/>
      <c r="B62" s="1216"/>
      <c r="C62" s="1216"/>
      <c r="D62" s="1216"/>
      <c r="E62" s="1216"/>
      <c r="F62" s="1216"/>
      <c r="G62" s="1216"/>
      <c r="H62" s="1216"/>
      <c r="I62" s="1216"/>
      <c r="J62" s="1216"/>
      <c r="K62" s="1216"/>
      <c r="L62" s="1216"/>
      <c r="M62" s="1216"/>
      <c r="N62" s="1216"/>
      <c r="O62" s="1216"/>
      <c r="P62" s="1216"/>
      <c r="Q62" s="1216"/>
      <c r="R62" s="1216"/>
      <c r="S62" s="1216"/>
      <c r="T62" s="1216"/>
    </row>
    <row r="63" ht="9.75" customHeight="1"/>
    <row r="64" spans="1:20" ht="9.75" customHeight="1">
      <c r="A64" s="1179" t="s">
        <v>2344</v>
      </c>
      <c r="B64" s="1179"/>
      <c r="C64" s="1179"/>
      <c r="D64" s="1179"/>
      <c r="E64" s="1179"/>
      <c r="F64" s="1179"/>
      <c r="S64" s="1178" t="s">
        <v>1727</v>
      </c>
      <c r="T64" s="1178"/>
    </row>
    <row r="65" spans="1:20" ht="9.75" customHeight="1">
      <c r="A65" s="1177" t="s">
        <v>2345</v>
      </c>
      <c r="B65" s="1177"/>
      <c r="C65" s="69" t="s">
        <v>843</v>
      </c>
      <c r="D65" s="1177" t="s">
        <v>2346</v>
      </c>
      <c r="E65" s="1177"/>
      <c r="F65" s="1177"/>
      <c r="G65" s="1177"/>
      <c r="I65" s="1177"/>
      <c r="J65" s="1177"/>
      <c r="K65" s="1177"/>
      <c r="L65" s="1177"/>
      <c r="M65" s="1177"/>
      <c r="N65" s="1177"/>
      <c r="O65" s="1177"/>
      <c r="P65" s="1177"/>
      <c r="Q65" s="1177"/>
      <c r="R65" s="1177"/>
      <c r="S65" s="1178" t="s">
        <v>2803</v>
      </c>
      <c r="T65" s="1178"/>
    </row>
    <row r="66" spans="1:20" ht="9.75" customHeight="1">
      <c r="A66" s="1164">
        <f>IF('Bridge Quantities'!$B$38&gt;0,'Bridge Quantities'!$B$2,0)</f>
        <v>0</v>
      </c>
      <c r="B66" s="1165">
        <f>IF('Bridge Quantities'!$B$38&gt;0,'Bridge Quantities'!$B$6,"")</f>
      </c>
      <c r="C66" s="77">
        <f>IF('Bridge Quantities'!$B$38&gt;0,'Bridge Quantities'!$B$4,0)</f>
        <v>0</v>
      </c>
      <c r="D66" s="1166">
        <f>IF('Bridge Quantities'!$B$38&gt;0,'Bridge Quantities'!$B$3,0)</f>
        <v>0</v>
      </c>
      <c r="E66" s="1166"/>
      <c r="F66" s="1166"/>
      <c r="G66" s="1166"/>
      <c r="H66" s="106">
        <f>IF('Bridge Quantities'!$B$38&gt;0,'Bridge Quantities'!$B$38,0)</f>
        <v>0</v>
      </c>
      <c r="I66" s="1172"/>
      <c r="J66" s="1172"/>
      <c r="K66" s="1172"/>
      <c r="L66" s="1172"/>
      <c r="M66" s="1172"/>
      <c r="N66" s="1172"/>
      <c r="O66" s="1172"/>
      <c r="P66" s="1172"/>
      <c r="Q66" s="1172"/>
      <c r="R66" s="1172"/>
      <c r="S66" s="1163">
        <f aca="true" t="shared" si="1" ref="S66:S78">SUM(H66:R66)</f>
        <v>0</v>
      </c>
      <c r="T66" s="1163"/>
    </row>
    <row r="67" spans="1:20" ht="9.75" customHeight="1">
      <c r="A67" s="1164">
        <f>IF('Bridge Quantities'!$AO$38&gt;0,'Bridge Quantities'!$AO$2,0)</f>
        <v>0</v>
      </c>
      <c r="B67" s="1165"/>
      <c r="C67" s="77">
        <f>IF('Bridge Quantities'!$AO$38&gt;0,'Bridge Quantities'!$AO$4,0)</f>
        <v>0</v>
      </c>
      <c r="D67" s="1166">
        <f>IF('Bridge Quantities'!$AO$38&gt;0,'Bridge Quantities'!$AO$3,0)</f>
        <v>0</v>
      </c>
      <c r="E67" s="1166"/>
      <c r="F67" s="1166"/>
      <c r="G67" s="1166"/>
      <c r="H67" s="106">
        <f>IF('Bridge Quantities'!$AO$38&gt;0,'Bridge Quantities'!$AO$38,0)</f>
        <v>0</v>
      </c>
      <c r="I67" s="1172"/>
      <c r="J67" s="1172"/>
      <c r="K67" s="1172"/>
      <c r="L67" s="1172"/>
      <c r="M67" s="1172"/>
      <c r="N67" s="1172"/>
      <c r="O67" s="1172"/>
      <c r="P67" s="1172"/>
      <c r="Q67" s="1172"/>
      <c r="R67" s="1172"/>
      <c r="S67" s="1163">
        <f t="shared" si="1"/>
        <v>0</v>
      </c>
      <c r="T67" s="1163"/>
    </row>
    <row r="68" spans="1:20" ht="9.75" customHeight="1">
      <c r="A68" s="1164">
        <f>IF('Bridge Quantities'!$I$38&gt;0,'Bridge Quantities'!$I$2,0)</f>
        <v>0</v>
      </c>
      <c r="B68" s="1165"/>
      <c r="C68" s="77">
        <f>IF('Bridge Quantities'!$I$38&gt;0,'Bridge Quantities'!$I$4,0)</f>
        <v>0</v>
      </c>
      <c r="D68" s="1166">
        <f>IF('Bridge Quantities'!$I$38&gt;0,'Bridge Quantities'!$I$3,0)</f>
        <v>0</v>
      </c>
      <c r="E68" s="1166"/>
      <c r="F68" s="1166"/>
      <c r="G68" s="1166"/>
      <c r="H68" s="106">
        <f>IF('Bridge Quantities'!$I$38&gt;0,'Bridge Quantities'!$I$38,0)</f>
        <v>0</v>
      </c>
      <c r="I68" s="1172"/>
      <c r="J68" s="1172"/>
      <c r="K68" s="1172"/>
      <c r="L68" s="1172"/>
      <c r="M68" s="1172"/>
      <c r="N68" s="1172"/>
      <c r="O68" s="1172"/>
      <c r="P68" s="1172"/>
      <c r="Q68" s="1172"/>
      <c r="R68" s="1172"/>
      <c r="S68" s="1163">
        <f t="shared" si="1"/>
        <v>0</v>
      </c>
      <c r="T68" s="1163"/>
    </row>
    <row r="69" spans="1:20" ht="9.75" customHeight="1">
      <c r="A69" s="1164">
        <f>IF('Bridge Quantities'!$J$38&gt;0,'Bridge Quantities'!$J$2,0)</f>
        <v>0</v>
      </c>
      <c r="B69" s="1165"/>
      <c r="C69" s="77">
        <f>IF('Bridge Quantities'!$J$38&gt;0,'Bridge Quantities'!$J$4,0)</f>
        <v>0</v>
      </c>
      <c r="D69" s="1166">
        <f>IF('Bridge Quantities'!$J$38&gt;0,'Bridge Quantities'!$J$3,0)</f>
        <v>0</v>
      </c>
      <c r="E69" s="1166"/>
      <c r="F69" s="1166"/>
      <c r="G69" s="1166"/>
      <c r="H69" s="106">
        <f>IF('Bridge Quantities'!$J$38&gt;0,'Bridge Quantities'!$J$38,0)</f>
        <v>0</v>
      </c>
      <c r="I69" s="1172"/>
      <c r="J69" s="1172"/>
      <c r="K69" s="1172"/>
      <c r="L69" s="1172"/>
      <c r="M69" s="1172"/>
      <c r="N69" s="1172"/>
      <c r="O69" s="1172"/>
      <c r="P69" s="1172"/>
      <c r="Q69" s="1172"/>
      <c r="R69" s="1172"/>
      <c r="S69" s="1163">
        <f t="shared" si="1"/>
        <v>0</v>
      </c>
      <c r="T69" s="1163"/>
    </row>
    <row r="70" spans="1:20" ht="9.75" customHeight="1">
      <c r="A70" s="1164">
        <f>IF('Bridge Quantities'!$K$38&gt;0,'Bridge Quantities'!$K$2,0)</f>
        <v>0</v>
      </c>
      <c r="B70" s="1165"/>
      <c r="C70" s="77">
        <f>IF('Bridge Quantities'!$K$38&gt;0,'Bridge Quantities'!$K$4,0)</f>
        <v>0</v>
      </c>
      <c r="D70" s="1166">
        <f>IF('Bridge Quantities'!$K$38&gt;0,'Bridge Quantities'!$K$3,0)</f>
        <v>0</v>
      </c>
      <c r="E70" s="1166"/>
      <c r="F70" s="1166"/>
      <c r="G70" s="1166"/>
      <c r="H70" s="106">
        <f>IF('Bridge Quantities'!$K$38&gt;0,'Bridge Quantities'!$K$38,0)</f>
        <v>0</v>
      </c>
      <c r="I70" s="1172"/>
      <c r="J70" s="1172"/>
      <c r="K70" s="1172"/>
      <c r="L70" s="1172"/>
      <c r="M70" s="1172"/>
      <c r="N70" s="1172"/>
      <c r="O70" s="1172"/>
      <c r="P70" s="1172"/>
      <c r="Q70" s="1172"/>
      <c r="R70" s="1172"/>
      <c r="S70" s="1163">
        <f t="shared" si="1"/>
        <v>0</v>
      </c>
      <c r="T70" s="1163"/>
    </row>
    <row r="71" spans="1:20" ht="9.75" customHeight="1">
      <c r="A71" s="1164">
        <f>IF('Bridge Quantities'!$L$38&gt;0,'Bridge Quantities'!$L$2,0)</f>
        <v>0</v>
      </c>
      <c r="B71" s="1165"/>
      <c r="C71" s="77">
        <f>IF('Bridge Quantities'!$L$38&gt;0,'Bridge Quantities'!$L$4,0)</f>
        <v>0</v>
      </c>
      <c r="D71" s="1166">
        <f>IF('Bridge Quantities'!$L$38&gt;0,'Bridge Quantities'!$L$3,0)</f>
        <v>0</v>
      </c>
      <c r="E71" s="1166"/>
      <c r="F71" s="1166"/>
      <c r="G71" s="1166"/>
      <c r="H71" s="106">
        <f>IF('Bridge Quantities'!$L$38&gt;0,'Bridge Quantities'!$L$38,0)</f>
        <v>0</v>
      </c>
      <c r="I71" s="1172"/>
      <c r="J71" s="1172"/>
      <c r="K71" s="1172"/>
      <c r="L71" s="1172"/>
      <c r="M71" s="1172"/>
      <c r="N71" s="1172"/>
      <c r="O71" s="1172"/>
      <c r="P71" s="1172"/>
      <c r="Q71" s="1172"/>
      <c r="R71" s="1172"/>
      <c r="S71" s="1163">
        <f t="shared" si="1"/>
        <v>0</v>
      </c>
      <c r="T71" s="1163"/>
    </row>
    <row r="72" spans="1:20" ht="9.75" customHeight="1">
      <c r="A72" s="1164">
        <f>IF('Bridge Quantities'!$N$38+SUM(Input!E111:E115)&gt;0,'Bridge Quantities'!$N$2,0)</f>
        <v>0</v>
      </c>
      <c r="B72" s="1165"/>
      <c r="C72" s="77">
        <f>IF('Bridge Quantities'!$N$38+SUM(Input!E111:E115)&gt;0,'Bridge Quantities'!$N$4,0)</f>
        <v>0</v>
      </c>
      <c r="D72" s="1166">
        <f>IF('Bridge Quantities'!$N$38+SUM(Input!E111:E115)&gt;0,'Bridge Quantities'!$N$3,0)</f>
        <v>0</v>
      </c>
      <c r="E72" s="1166"/>
      <c r="F72" s="1166"/>
      <c r="G72" s="1166"/>
      <c r="H72" s="106">
        <f>IF('Bridge Quantities'!$N$38&gt;0,'Bridge Quantities'!$N$38,0)</f>
        <v>0</v>
      </c>
      <c r="I72" s="1175">
        <f>IF(Input!$E$111,Input!$E$111,0)</f>
        <v>0</v>
      </c>
      <c r="J72" s="1176"/>
      <c r="K72" s="1175">
        <f>IF(Input!$E$112,Input!$E$112,0)</f>
        <v>0</v>
      </c>
      <c r="L72" s="1176"/>
      <c r="M72" s="1175">
        <f>IF(Input!$E$113,Input!$E$113,0)</f>
        <v>0</v>
      </c>
      <c r="N72" s="1176"/>
      <c r="O72" s="1175">
        <f>IF(Input!$E$114,Input!$E$114,0)</f>
        <v>0</v>
      </c>
      <c r="P72" s="1176"/>
      <c r="Q72" s="1175">
        <f>IF(Input!$E$115,Input!$E$115,0)</f>
        <v>0</v>
      </c>
      <c r="R72" s="1176"/>
      <c r="S72" s="1163">
        <f t="shared" si="1"/>
        <v>0</v>
      </c>
      <c r="T72" s="1163"/>
    </row>
    <row r="73" spans="1:20" ht="9.75" customHeight="1">
      <c r="A73" s="1164">
        <f>IF('Bridge Quantities'!$Q$38&gt;0,'Bridge Quantities'!$Q$2,0)</f>
        <v>0</v>
      </c>
      <c r="B73" s="1165"/>
      <c r="C73" s="77">
        <f>IF('Bridge Quantities'!$Q$38&gt;0,'Bridge Quantities'!$Q$4,0)</f>
        <v>0</v>
      </c>
      <c r="D73" s="1166">
        <f>IF('Bridge Quantities'!$Q$38&gt;0,'Bridge Quantities'!$Q$3,0)</f>
        <v>0</v>
      </c>
      <c r="E73" s="1166"/>
      <c r="F73" s="1166"/>
      <c r="G73" s="1166"/>
      <c r="H73" s="106">
        <f>IF('Bridge Quantities'!$Q$38&gt;0,'Bridge Quantities'!$Q$38,0)</f>
        <v>0</v>
      </c>
      <c r="I73" s="1172"/>
      <c r="J73" s="1172"/>
      <c r="K73" s="1172"/>
      <c r="L73" s="1172"/>
      <c r="M73" s="1172"/>
      <c r="N73" s="1172"/>
      <c r="O73" s="1172"/>
      <c r="P73" s="1172"/>
      <c r="Q73" s="1172"/>
      <c r="R73" s="1172"/>
      <c r="S73" s="1163">
        <f t="shared" si="1"/>
        <v>0</v>
      </c>
      <c r="T73" s="1163"/>
    </row>
    <row r="74" spans="1:20" ht="9.75" customHeight="1">
      <c r="A74" s="1164">
        <f>IF('Bridge Quantities'!$R$38&gt;0,'Bridge Quantities'!$R$2,0)</f>
        <v>0</v>
      </c>
      <c r="B74" s="1165"/>
      <c r="C74" s="77">
        <f>IF('Bridge Quantities'!$R$38&gt;0,'Bridge Quantities'!$R$4,0)</f>
        <v>0</v>
      </c>
      <c r="D74" s="1166">
        <f>IF('Bridge Quantities'!$R$38&gt;0,'Bridge Quantities'!$R$3,0)</f>
        <v>0</v>
      </c>
      <c r="E74" s="1166"/>
      <c r="F74" s="1166"/>
      <c r="G74" s="1166"/>
      <c r="H74" s="106">
        <f>IF('Bridge Quantities'!$R$38&gt;0,'Bridge Quantities'!$R$38,0)</f>
        <v>0</v>
      </c>
      <c r="I74" s="1170"/>
      <c r="J74" s="1170"/>
      <c r="K74" s="1170"/>
      <c r="L74" s="1170"/>
      <c r="M74" s="1170"/>
      <c r="N74" s="1170"/>
      <c r="O74" s="1170"/>
      <c r="P74" s="1170"/>
      <c r="Q74" s="1170"/>
      <c r="R74" s="1170"/>
      <c r="S74" s="1163">
        <f t="shared" si="1"/>
        <v>0</v>
      </c>
      <c r="T74" s="1163"/>
    </row>
    <row r="75" spans="1:20" ht="9.75" customHeight="1">
      <c r="A75" s="1164">
        <f>IF('Bridge Quantities'!$E$38&gt;0,'Bridge Quantities'!$E$2,0)</f>
        <v>0</v>
      </c>
      <c r="B75" s="1165"/>
      <c r="C75" s="77">
        <f>IF('Bridge Quantities'!$E$38&gt;0,'Bridge Quantities'!$E$4,0)</f>
        <v>0</v>
      </c>
      <c r="D75" s="1166">
        <f>IF('Bridge Quantities'!$E$38&gt;0,'Bridge Quantities'!$E$3,0)</f>
        <v>0</v>
      </c>
      <c r="E75" s="1166"/>
      <c r="F75" s="1166"/>
      <c r="G75" s="1166"/>
      <c r="H75" s="106">
        <f>IF('Bridge Quantities'!E38&gt;0,'Bridge Quantities'!E38-'Bridge Quantities'!E6-IF(A75=A53,H53,0),0)</f>
        <v>0</v>
      </c>
      <c r="I75" s="1170"/>
      <c r="J75" s="1170"/>
      <c r="K75" s="1170"/>
      <c r="L75" s="1170"/>
      <c r="M75" s="1170"/>
      <c r="N75" s="1170"/>
      <c r="O75" s="1170"/>
      <c r="P75" s="1170"/>
      <c r="Q75" s="1170"/>
      <c r="R75" s="1170"/>
      <c r="S75" s="1163">
        <f t="shared" si="1"/>
        <v>0</v>
      </c>
      <c r="T75" s="1163"/>
    </row>
    <row r="76" spans="1:20" ht="9.75" customHeight="1">
      <c r="A76" s="1164">
        <f>IF('Bridge Quantities'!$W$38&gt;0,'Bridge Quantities'!$W$2,0)</f>
        <v>0</v>
      </c>
      <c r="B76" s="1165"/>
      <c r="C76" s="77">
        <f>IF('Bridge Quantities'!$W$38&gt;0,'Bridge Quantities'!$W$4,0)</f>
        <v>0</v>
      </c>
      <c r="D76" s="1166">
        <f>IF('Bridge Quantities'!$W$38&gt;0,'Bridge Quantities'!$W$3,0)</f>
        <v>0</v>
      </c>
      <c r="E76" s="1166"/>
      <c r="F76" s="1166"/>
      <c r="G76" s="1166"/>
      <c r="H76" s="106">
        <f>IF('Bridge Quantities'!$W$38&gt;0,'Bridge Quantities'!$W$38,0)</f>
        <v>0</v>
      </c>
      <c r="I76" s="1170"/>
      <c r="J76" s="1170"/>
      <c r="K76" s="1170"/>
      <c r="L76" s="1170"/>
      <c r="M76" s="1170"/>
      <c r="N76" s="1170"/>
      <c r="O76" s="1170"/>
      <c r="P76" s="1170"/>
      <c r="Q76" s="1170"/>
      <c r="R76" s="1170"/>
      <c r="S76" s="1163">
        <f t="shared" si="1"/>
        <v>0</v>
      </c>
      <c r="T76" s="1163"/>
    </row>
    <row r="77" spans="1:20" ht="9.75" customHeight="1">
      <c r="A77" s="1164">
        <f>IF('Bridge Quantities'!$AB$38&gt;0,'Bridge Quantities'!$AB$2,0)</f>
        <v>0</v>
      </c>
      <c r="B77" s="1165"/>
      <c r="C77" s="77">
        <f>IF('Bridge Quantities'!$AB$38&gt;0,'Bridge Quantities'!$AB$4,0)</f>
        <v>0</v>
      </c>
      <c r="D77" s="1166">
        <f>IF('Bridge Quantities'!$AB$38&gt;0,'Bridge Quantities'!$AB$3,0)</f>
        <v>0</v>
      </c>
      <c r="E77" s="1166"/>
      <c r="F77" s="1166"/>
      <c r="G77" s="1166"/>
      <c r="H77" s="106">
        <f>IF('Bridge Quantities'!$AB$38&gt;0,'Bridge Quantities'!$AB$38,0)</f>
        <v>0</v>
      </c>
      <c r="I77" s="1170"/>
      <c r="J77" s="1170"/>
      <c r="K77" s="1170"/>
      <c r="L77" s="1170"/>
      <c r="M77" s="1170"/>
      <c r="N77" s="1170"/>
      <c r="O77" s="1170"/>
      <c r="P77" s="1170"/>
      <c r="Q77" s="1170"/>
      <c r="R77" s="1170"/>
      <c r="S77" s="1163">
        <f t="shared" si="1"/>
        <v>0</v>
      </c>
      <c r="T77" s="1163"/>
    </row>
    <row r="78" spans="1:20" ht="9.75" customHeight="1">
      <c r="A78" s="1164">
        <f>IF('Bridge Quantities'!$AF$38&gt;0,'Bridge Quantities'!$AF$2,0)</f>
        <v>0</v>
      </c>
      <c r="B78" s="1165"/>
      <c r="C78" s="77">
        <f>IF('Bridge Quantities'!$AF$38&gt;0,"LS",0)</f>
        <v>0</v>
      </c>
      <c r="D78" s="1166">
        <f>IF('Bridge Quantities'!$AF$38&gt;0,'Bridge Quantities'!$AF$3,0)</f>
        <v>0</v>
      </c>
      <c r="E78" s="1166"/>
      <c r="F78" s="1166"/>
      <c r="G78" s="1166"/>
      <c r="H78" s="106">
        <f>IF('Bridge Quantities'!$AF$38&gt;0,1,0)</f>
        <v>0</v>
      </c>
      <c r="I78" s="1170"/>
      <c r="J78" s="1170"/>
      <c r="K78" s="1170"/>
      <c r="L78" s="1170"/>
      <c r="M78" s="1170"/>
      <c r="N78" s="1170"/>
      <c r="O78" s="1170"/>
      <c r="P78" s="1170"/>
      <c r="Q78" s="1170"/>
      <c r="R78" s="1170"/>
      <c r="S78" s="1163">
        <f t="shared" si="1"/>
        <v>0</v>
      </c>
      <c r="T78" s="1163"/>
    </row>
    <row r="79" spans="1:20" ht="9.75" customHeight="1">
      <c r="A79" s="1164">
        <f>IF('Bridge Quantities'!$AG$38&gt;0,'Bridge Quantities'!$AG$2,0)</f>
        <v>0</v>
      </c>
      <c r="B79" s="1165"/>
      <c r="C79" s="77">
        <f>IF('Bridge Quantities'!$AG$38&gt;0,"LS",0)</f>
        <v>0</v>
      </c>
      <c r="D79" s="1166">
        <f>IF('Bridge Quantities'!$AG$38&gt;0,'Bridge Quantities'!$AG$3,0)</f>
        <v>0</v>
      </c>
      <c r="E79" s="1166"/>
      <c r="F79" s="1166"/>
      <c r="G79" s="1166"/>
      <c r="H79" s="106">
        <f>IF('Bridge Quantities'!$AG$38&gt;0,1,0)</f>
        <v>0</v>
      </c>
      <c r="I79" s="1167"/>
      <c r="J79" s="1167"/>
      <c r="K79" s="1167"/>
      <c r="L79" s="1167"/>
      <c r="M79" s="1167"/>
      <c r="N79" s="1167"/>
      <c r="O79" s="1167"/>
      <c r="P79" s="1167"/>
      <c r="Q79" s="1167"/>
      <c r="R79" s="1167"/>
      <c r="S79" s="1163">
        <f>SUM(H79:R79)</f>
        <v>0</v>
      </c>
      <c r="T79" s="1163"/>
    </row>
    <row r="80" spans="1:20" ht="9.75" customHeight="1">
      <c r="A80" s="1164">
        <f>IF('Bridge Quantities'!$AI$38&gt;0,'Bridge Quantities'!$AI$2,0)</f>
        <v>0</v>
      </c>
      <c r="B80" s="1165"/>
      <c r="C80" s="77">
        <f>IF('Bridge Quantities'!$AI$38&gt;0,'Bridge Quantities'!$AI$4,0)</f>
        <v>0</v>
      </c>
      <c r="D80" s="1166">
        <f>IF('Bridge Quantities'!$AI$38&gt;0,'Bridge Quantities'!$AI$3,0)</f>
        <v>0</v>
      </c>
      <c r="E80" s="1166"/>
      <c r="F80" s="1166"/>
      <c r="G80" s="1166"/>
      <c r="H80" s="106">
        <f>IF('Bridge Quantities'!$AI$38&gt;0,'Bridge Quantities'!$AI$38,0)</f>
        <v>0</v>
      </c>
      <c r="I80" s="1168"/>
      <c r="J80" s="1168"/>
      <c r="K80" s="1168"/>
      <c r="L80" s="1168"/>
      <c r="M80" s="1168"/>
      <c r="N80" s="1168"/>
      <c r="O80" s="1168"/>
      <c r="P80" s="1168"/>
      <c r="Q80" s="1168"/>
      <c r="R80" s="1168"/>
      <c r="S80" s="1163">
        <f aca="true" t="shared" si="2" ref="S80:S133">SUM(H80:R80)</f>
        <v>0</v>
      </c>
      <c r="T80" s="1163"/>
    </row>
    <row r="81" spans="1:20" ht="9.75" customHeight="1">
      <c r="A81" s="1164">
        <f>IF('Bridge Quantities'!$AJ$38&gt;0,'Bridge Quantities'!$AJ$2,0)</f>
        <v>0</v>
      </c>
      <c r="B81" s="1165"/>
      <c r="C81" s="77">
        <f>IF('Bridge Quantities'!$AJ$38&gt;0,'Bridge Quantities'!$AJ$4,0)</f>
        <v>0</v>
      </c>
      <c r="D81" s="1166">
        <f>IF('Bridge Quantities'!$AJ$38&gt;0,'Bridge Quantities'!$AJ$3,0)</f>
        <v>0</v>
      </c>
      <c r="E81" s="1166"/>
      <c r="F81" s="1166"/>
      <c r="G81" s="1166"/>
      <c r="H81" s="106">
        <f>IF('Bridge Quantities'!$AJ$38&gt;0,'Bridge Quantities'!$AJ$38,0)</f>
        <v>0</v>
      </c>
      <c r="I81" s="1168"/>
      <c r="J81" s="1168"/>
      <c r="K81" s="1168"/>
      <c r="L81" s="1168"/>
      <c r="M81" s="1168"/>
      <c r="N81" s="1168"/>
      <c r="O81" s="1168"/>
      <c r="P81" s="1168"/>
      <c r="Q81" s="1168"/>
      <c r="R81" s="1168"/>
      <c r="S81" s="1163">
        <f t="shared" si="2"/>
        <v>0</v>
      </c>
      <c r="T81" s="1163"/>
    </row>
    <row r="82" spans="1:20" ht="9.75" customHeight="1">
      <c r="A82" s="1164">
        <f>IF('Bridge Quantities'!$AK$38&gt;0,'Bridge Quantities'!$AK$2,0)</f>
        <v>0</v>
      </c>
      <c r="B82" s="1165"/>
      <c r="C82" s="77">
        <f>IF('Bridge Quantities'!$AK$38&gt;0,'Bridge Quantities'!$AK$4,0)</f>
        <v>0</v>
      </c>
      <c r="D82" s="1166">
        <f>IF('Bridge Quantities'!$AK$38&gt;0,'Bridge Quantities'!$AK$3,0)</f>
        <v>0</v>
      </c>
      <c r="E82" s="1166"/>
      <c r="F82" s="1166"/>
      <c r="G82" s="1166"/>
      <c r="H82" s="106">
        <f>IF('Bridge Quantities'!$AK$38&gt;0,'Bridge Quantities'!$AK$38,0)</f>
        <v>0</v>
      </c>
      <c r="I82" s="1168"/>
      <c r="J82" s="1168"/>
      <c r="K82" s="1168"/>
      <c r="L82" s="1168"/>
      <c r="M82" s="1168"/>
      <c r="N82" s="1168"/>
      <c r="O82" s="1168"/>
      <c r="P82" s="1168"/>
      <c r="Q82" s="1168"/>
      <c r="R82" s="1168"/>
      <c r="S82" s="1163">
        <f t="shared" si="2"/>
        <v>0</v>
      </c>
      <c r="T82" s="1163"/>
    </row>
    <row r="83" spans="1:20" ht="9.75" customHeight="1">
      <c r="A83" s="1164">
        <f>IF('Bridge Quantities'!$AL$38&gt;0,'Bridge Quantities'!$AL$2,0)</f>
        <v>0</v>
      </c>
      <c r="B83" s="1165"/>
      <c r="C83" s="77">
        <f>IF('Bridge Quantities'!$AL$38&gt;0,'Bridge Quantities'!$AL$4,0)</f>
        <v>0</v>
      </c>
      <c r="D83" s="1209">
        <f>IF('Bridge Quantities'!$AL$38&gt;0,'Bridge Quantities'!$AL$3,0)</f>
        <v>0</v>
      </c>
      <c r="E83" s="862"/>
      <c r="F83" s="862"/>
      <c r="G83" s="1210"/>
      <c r="H83" s="106">
        <f>IF('Bridge Quantities'!$AL$38&gt;0,'Bridge Quantities'!$AL$38,0)</f>
        <v>0</v>
      </c>
      <c r="I83" s="1168"/>
      <c r="J83" s="1168"/>
      <c r="K83" s="1168"/>
      <c r="L83" s="1168"/>
      <c r="M83" s="1168"/>
      <c r="N83" s="1168"/>
      <c r="O83" s="1168"/>
      <c r="P83" s="1168"/>
      <c r="Q83" s="1168"/>
      <c r="R83" s="1168"/>
      <c r="S83" s="1163">
        <f t="shared" si="2"/>
        <v>0</v>
      </c>
      <c r="T83" s="1163"/>
    </row>
    <row r="84" spans="1:20" ht="9.75" customHeight="1">
      <c r="A84" s="1164">
        <f>IF('Bridge Quantities'!$AM$38&gt;0,'Bridge Quantities'!$AM$2,0)</f>
        <v>0</v>
      </c>
      <c r="B84" s="1165"/>
      <c r="C84" s="77">
        <f>IF('Bridge Quantities'!$AM$38&gt;0,'Bridge Quantities'!$AM$4,0)</f>
        <v>0</v>
      </c>
      <c r="D84" s="1166">
        <f>IF('Bridge Quantities'!$AM$38&gt;0,'Bridge Quantities'!$AM$3,0)</f>
        <v>0</v>
      </c>
      <c r="E84" s="1166"/>
      <c r="F84" s="1166"/>
      <c r="G84" s="1166"/>
      <c r="H84" s="106">
        <f>IF('Bridge Quantities'!$AM$38&gt;0,'Bridge Quantities'!$AM$38,0)</f>
        <v>0</v>
      </c>
      <c r="I84" s="1168"/>
      <c r="J84" s="1168"/>
      <c r="K84" s="1168"/>
      <c r="L84" s="1168"/>
      <c r="M84" s="1168"/>
      <c r="N84" s="1168"/>
      <c r="O84" s="1168"/>
      <c r="P84" s="1168"/>
      <c r="Q84" s="1168"/>
      <c r="R84" s="1168"/>
      <c r="S84" s="1163">
        <f t="shared" si="2"/>
        <v>0</v>
      </c>
      <c r="T84" s="1163"/>
    </row>
    <row r="85" spans="1:20" ht="9.75" customHeight="1">
      <c r="A85" s="1164">
        <f>IF('Bridge Quantities'!$AN$38&gt;0,'Bridge Quantities'!$AN$2,0)</f>
        <v>0</v>
      </c>
      <c r="B85" s="1165"/>
      <c r="C85" s="77">
        <f>IF('Bridge Quantities'!$AN$38&gt;0,'Bridge Quantities'!$AN$4,0)</f>
        <v>0</v>
      </c>
      <c r="D85" s="1166">
        <f>IF('Bridge Quantities'!$AN$38&gt;0,'Bridge Quantities'!$AN$3,0)</f>
        <v>0</v>
      </c>
      <c r="E85" s="1166"/>
      <c r="F85" s="1166"/>
      <c r="G85" s="1166"/>
      <c r="H85" s="106">
        <f>IF('Bridge Quantities'!$AN$38&gt;0,'Bridge Quantities'!$AN$38,0)</f>
        <v>0</v>
      </c>
      <c r="I85" s="1168"/>
      <c r="J85" s="1168"/>
      <c r="K85" s="1168"/>
      <c r="L85" s="1168"/>
      <c r="M85" s="1168"/>
      <c r="N85" s="1168"/>
      <c r="O85" s="1168"/>
      <c r="P85" s="1168"/>
      <c r="Q85" s="1168"/>
      <c r="R85" s="1168"/>
      <c r="S85" s="1163">
        <f t="shared" si="2"/>
        <v>0</v>
      </c>
      <c r="T85" s="1163"/>
    </row>
    <row r="86" spans="1:20" ht="9.75" customHeight="1">
      <c r="A86" s="1164">
        <f>IF('Bridge Quantities'!$AQ$38&gt;0,'Bridge Quantities'!$AQ$2,0)</f>
        <v>0</v>
      </c>
      <c r="B86" s="1165"/>
      <c r="C86" s="77">
        <f>IF('Bridge Quantities'!$AQ$38&gt;0,'Bridge Quantities'!$AQ$4,0)</f>
        <v>0</v>
      </c>
      <c r="D86" s="1166">
        <f>IF('Bridge Quantities'!$AQ$38&gt;0,'Bridge Quantities'!$AQ$3,0)</f>
        <v>0</v>
      </c>
      <c r="E86" s="1166"/>
      <c r="F86" s="1166"/>
      <c r="G86" s="1166"/>
      <c r="H86" s="106">
        <f>IF('Bridge Quantities'!$AQ$38&gt;0,'Bridge Quantities'!$AQ$38,0)</f>
        <v>0</v>
      </c>
      <c r="I86" s="1168"/>
      <c r="J86" s="1168"/>
      <c r="K86" s="1168"/>
      <c r="L86" s="1168"/>
      <c r="M86" s="1168"/>
      <c r="N86" s="1168"/>
      <c r="O86" s="1168"/>
      <c r="P86" s="1168"/>
      <c r="Q86" s="1168"/>
      <c r="R86" s="1168"/>
      <c r="S86" s="1163">
        <f t="shared" si="2"/>
        <v>0</v>
      </c>
      <c r="T86" s="1163"/>
    </row>
    <row r="87" spans="1:20" ht="9.75" customHeight="1">
      <c r="A87" s="1164">
        <f>IF('Bridge Quantities'!$AP$38&gt;0,'Bridge Quantities'!$AP$2,0)</f>
        <v>0</v>
      </c>
      <c r="B87" s="1165"/>
      <c r="C87" s="77">
        <f>IF('Bridge Quantities'!$AP$38&gt;0,'Bridge Quantities'!$AP$4,0)</f>
        <v>0</v>
      </c>
      <c r="D87" s="1209">
        <f>IF('Bridge Quantities'!$AP$38&gt;0,'Bridge Quantities'!$AP$3,0)</f>
        <v>0</v>
      </c>
      <c r="E87" s="862"/>
      <c r="F87" s="862"/>
      <c r="G87" s="1210"/>
      <c r="H87" s="106">
        <f>IF('Bridge Quantities'!$AP$38&gt;0,'Bridge Quantities'!$AP$38,0)</f>
        <v>0</v>
      </c>
      <c r="I87" s="1168"/>
      <c r="J87" s="1168"/>
      <c r="K87" s="1168"/>
      <c r="L87" s="1168"/>
      <c r="M87" s="1168"/>
      <c r="N87" s="1168"/>
      <c r="O87" s="1168"/>
      <c r="P87" s="1168"/>
      <c r="Q87" s="1168"/>
      <c r="R87" s="1168"/>
      <c r="S87" s="1163">
        <f t="shared" si="2"/>
        <v>0</v>
      </c>
      <c r="T87" s="1163"/>
    </row>
    <row r="88" spans="1:20" ht="9.75" customHeight="1">
      <c r="A88" s="1164">
        <f>IF('Bridge Quantities'!$H$38&gt;0,'Bridge Quantities'!$H$2,0)</f>
        <v>0</v>
      </c>
      <c r="B88" s="1165"/>
      <c r="C88" s="77">
        <f>IF('Bridge Quantities'!$H$38&gt;0,'Bridge Quantities'!$H$4,0)</f>
        <v>0</v>
      </c>
      <c r="D88" s="1166">
        <f>IF('Bridge Quantities'!$H$38&gt;0,'Bridge Quantities'!$H$3,0)</f>
        <v>0</v>
      </c>
      <c r="E88" s="1166"/>
      <c r="F88" s="1166"/>
      <c r="G88" s="1166"/>
      <c r="H88" s="106">
        <f>IF('Bridge Quantities'!$H$38&gt;0,'Bridge Quantities'!$H$38,0)</f>
        <v>0</v>
      </c>
      <c r="I88" s="1168"/>
      <c r="J88" s="1168"/>
      <c r="K88" s="1168"/>
      <c r="L88" s="1168"/>
      <c r="M88" s="1168"/>
      <c r="N88" s="1168"/>
      <c r="O88" s="1168"/>
      <c r="P88" s="1168"/>
      <c r="Q88" s="1168"/>
      <c r="R88" s="1168"/>
      <c r="S88" s="1163">
        <f t="shared" si="2"/>
        <v>0</v>
      </c>
      <c r="T88" s="1163"/>
    </row>
    <row r="89" spans="1:20" ht="9.75" customHeight="1">
      <c r="A89" s="1164">
        <f>IF('Bridge Quantities'!$AR$38&gt;0,'Bridge Quantities'!$AR$2,0)</f>
        <v>0</v>
      </c>
      <c r="B89" s="1165"/>
      <c r="C89" s="77">
        <f>IF('Bridge Quantities'!$AR$38&gt;0,'Bridge Quantities'!$AR$4,0)</f>
        <v>0</v>
      </c>
      <c r="D89" s="1166">
        <f>IF('Bridge Quantities'!$AR$38&gt;0,'Bridge Quantities'!$AR$3,0)</f>
        <v>0</v>
      </c>
      <c r="E89" s="1166"/>
      <c r="F89" s="1166"/>
      <c r="G89" s="1166"/>
      <c r="H89" s="106">
        <f>IF('Bridge Quantities'!$AR$38&gt;0,'Bridge Quantities'!$AR$38,0)</f>
        <v>0</v>
      </c>
      <c r="I89" s="1168"/>
      <c r="J89" s="1168"/>
      <c r="K89" s="1168"/>
      <c r="L89" s="1168"/>
      <c r="M89" s="1168"/>
      <c r="N89" s="1168"/>
      <c r="O89" s="1168"/>
      <c r="P89" s="1168"/>
      <c r="Q89" s="1168"/>
      <c r="R89" s="1168"/>
      <c r="S89" s="1163">
        <f t="shared" si="2"/>
        <v>0</v>
      </c>
      <c r="T89" s="1163"/>
    </row>
    <row r="90" spans="1:20" ht="9.75" customHeight="1">
      <c r="A90" s="1164">
        <f>IF('Bridge Quantities'!$AS$38&gt;0,'Bridge Quantities'!$AS$2,0)</f>
        <v>0</v>
      </c>
      <c r="B90" s="1165"/>
      <c r="C90" s="77">
        <f>IF('Bridge Quantities'!$AS$38&gt;0,'Bridge Quantities'!$AS$4,0)</f>
        <v>0</v>
      </c>
      <c r="D90" s="1166">
        <f>IF('Bridge Quantities'!$AS$38&gt;0,'Bridge Quantities'!$AS$3,0)</f>
        <v>0</v>
      </c>
      <c r="E90" s="1166"/>
      <c r="F90" s="1166"/>
      <c r="G90" s="1166"/>
      <c r="H90" s="106">
        <f>IF('Bridge Quantities'!$AS$38&gt;0,'Bridge Quantities'!$AS$38,0)</f>
        <v>0</v>
      </c>
      <c r="I90" s="1167"/>
      <c r="J90" s="1167"/>
      <c r="K90" s="1167"/>
      <c r="L90" s="1167"/>
      <c r="M90" s="1167"/>
      <c r="N90" s="1167"/>
      <c r="O90" s="1167"/>
      <c r="P90" s="1167"/>
      <c r="Q90" s="1167"/>
      <c r="R90" s="1167"/>
      <c r="S90" s="1163">
        <f t="shared" si="2"/>
        <v>0</v>
      </c>
      <c r="T90" s="1163"/>
    </row>
    <row r="91" spans="1:20" ht="9.75" customHeight="1">
      <c r="A91" s="1164">
        <f>IF('Bridge Quantities'!$AU$2=A43,0,IF('Bridge Quantities'!$AU$38&gt;0,'Bridge Quantities'!$AU$2,0))</f>
        <v>0</v>
      </c>
      <c r="B91" s="1165"/>
      <c r="C91" s="77">
        <f>IF('Bridge Quantities'!$AU$2=A43,0,IF('Bridge Quantities'!$AU$38&gt;0,'Bridge Quantities'!$AU$4,0))</f>
        <v>0</v>
      </c>
      <c r="D91" s="1166">
        <f>IF('Bridge Quantities'!$AU$2=A43,0,IF('Bridge Quantities'!$AU$38&gt;0,'Bridge Quantities'!$AU$3,0))</f>
        <v>0</v>
      </c>
      <c r="E91" s="1166"/>
      <c r="F91" s="1166"/>
      <c r="G91" s="1166"/>
      <c r="H91" s="106">
        <f>IF('Bridge Quantities'!$AU$2=A43,0,IF('Bridge Quantities'!$AU$38&gt;0,'Bridge Quantities'!$AU$38,0))</f>
        <v>0</v>
      </c>
      <c r="I91" s="1167"/>
      <c r="J91" s="1167"/>
      <c r="K91" s="1167"/>
      <c r="L91" s="1167"/>
      <c r="M91" s="1167"/>
      <c r="N91" s="1167"/>
      <c r="O91" s="1167"/>
      <c r="P91" s="1167"/>
      <c r="Q91" s="1167"/>
      <c r="R91" s="1167"/>
      <c r="S91" s="1163">
        <f t="shared" si="2"/>
        <v>0</v>
      </c>
      <c r="T91" s="1163"/>
    </row>
    <row r="92" spans="1:20" ht="9.75" customHeight="1">
      <c r="A92" s="1164">
        <f>IF('Bridge Quantities'!$AV$2=A43,0,IF('Bridge Quantities'!$AV$38&gt;0,'Bridge Quantities'!$AV$2,0))</f>
        <v>0</v>
      </c>
      <c r="B92" s="1165"/>
      <c r="C92" s="77">
        <f>IF('Bridge Quantities'!$AV$2=A43,0,IF('Bridge Quantities'!$AV$38&gt;0,'Bridge Quantities'!$AV$4,0))</f>
        <v>0</v>
      </c>
      <c r="D92" s="1166">
        <f>IF('Bridge Quantities'!$AV$2=A43,0,IF('Bridge Quantities'!$AV$38&gt;0,'Bridge Quantities'!$AV$3,0))</f>
        <v>0</v>
      </c>
      <c r="E92" s="1166"/>
      <c r="F92" s="1166"/>
      <c r="G92" s="1166"/>
      <c r="H92" s="106">
        <f>IF('Bridge Quantities'!$AV$2=A43,0,IF('Bridge Quantities'!$AV$38&gt;0,'Bridge Quantities'!$AV$38,0))</f>
        <v>0</v>
      </c>
      <c r="I92" s="1167"/>
      <c r="J92" s="1167"/>
      <c r="K92" s="1167"/>
      <c r="L92" s="1167"/>
      <c r="M92" s="1167"/>
      <c r="N92" s="1167"/>
      <c r="O92" s="1167"/>
      <c r="P92" s="1167"/>
      <c r="Q92" s="1167"/>
      <c r="R92" s="1167"/>
      <c r="S92" s="1163">
        <f t="shared" si="2"/>
        <v>0</v>
      </c>
      <c r="T92" s="1163"/>
    </row>
    <row r="93" spans="1:20" ht="9.75" customHeight="1">
      <c r="A93" s="1164">
        <f>IF('Bridge Quantities'!$AW$2=A43,0,IF('Bridge Quantities'!$AW$38&gt;0,'Bridge Quantities'!$AW$2,0))</f>
        <v>0</v>
      </c>
      <c r="B93" s="1165"/>
      <c r="C93" s="77">
        <f>IF('Bridge Quantities'!$AW$2=A43,0,IF('Bridge Quantities'!$AW$38&gt;0,'Bridge Quantities'!$AW$4,0))</f>
        <v>0</v>
      </c>
      <c r="D93" s="1166">
        <f>IF('Bridge Quantities'!$AW$2=A43,0,IF('Bridge Quantities'!$AW$38&gt;0,'Bridge Quantities'!$AW$3,0))</f>
        <v>0</v>
      </c>
      <c r="E93" s="1166"/>
      <c r="F93" s="1166"/>
      <c r="G93" s="1166"/>
      <c r="H93" s="106">
        <f>IF('Bridge Quantities'!$AW$2=A43,0,IF('Bridge Quantities'!$AW$38&gt;0,'Bridge Quantities'!$AW$38,0))</f>
        <v>0</v>
      </c>
      <c r="I93" s="1167"/>
      <c r="J93" s="1167"/>
      <c r="K93" s="1167"/>
      <c r="L93" s="1167"/>
      <c r="M93" s="1167"/>
      <c r="N93" s="1167"/>
      <c r="O93" s="1167"/>
      <c r="P93" s="1167"/>
      <c r="Q93" s="1167"/>
      <c r="R93" s="1167"/>
      <c r="S93" s="1163">
        <f t="shared" si="2"/>
        <v>0</v>
      </c>
      <c r="T93" s="1163"/>
    </row>
    <row r="94" spans="1:20" ht="9.75" customHeight="1">
      <c r="A94" s="1164">
        <f>IF('Bridge Quantities'!$AX$2=A43,0,IF('Bridge Quantities'!$AX$38&gt;0,'Bridge Quantities'!$AX$2,0))</f>
        <v>0</v>
      </c>
      <c r="B94" s="1165"/>
      <c r="C94" s="77">
        <f>IF('Bridge Quantities'!$AX$2=A43,0,IF('Bridge Quantities'!$AX$38&gt;0,'Bridge Quantities'!$AX$4,0))</f>
        <v>0</v>
      </c>
      <c r="D94" s="1166">
        <f>IF('Bridge Quantities'!$AX$2=A43,0,IF('Bridge Quantities'!$AX$38&gt;0,'Bridge Quantities'!$AX$3,0))</f>
        <v>0</v>
      </c>
      <c r="E94" s="1166"/>
      <c r="F94" s="1166"/>
      <c r="G94" s="1166"/>
      <c r="H94" s="106">
        <f>IF('Bridge Quantities'!$AX$2=A43,0,IF('Bridge Quantities'!$AX$38&gt;0,'Bridge Quantities'!$AX$38,0))</f>
        <v>0</v>
      </c>
      <c r="I94" s="1167"/>
      <c r="J94" s="1167"/>
      <c r="K94" s="1167"/>
      <c r="L94" s="1167"/>
      <c r="M94" s="1167"/>
      <c r="N94" s="1167"/>
      <c r="O94" s="1167"/>
      <c r="P94" s="1167"/>
      <c r="Q94" s="1167"/>
      <c r="R94" s="1167"/>
      <c r="S94" s="1163">
        <f t="shared" si="2"/>
        <v>0</v>
      </c>
      <c r="T94" s="1163"/>
    </row>
    <row r="95" spans="1:20" ht="9.75" customHeight="1">
      <c r="A95" s="1164">
        <f>IF('Bridge Quantities'!$AY$2=A43,0,IF('Bridge Quantities'!$AY$38&gt;0,'Bridge Quantities'!$AY$2,0))</f>
        <v>0</v>
      </c>
      <c r="B95" s="1165"/>
      <c r="C95" s="77">
        <f>IF('Bridge Quantities'!$AY$2=A43,0,IF('Bridge Quantities'!$AY$38&gt;0,'Bridge Quantities'!$AY$4,0))</f>
        <v>0</v>
      </c>
      <c r="D95" s="1166">
        <f>IF('Bridge Quantities'!$AY$2=A43,0,IF('Bridge Quantities'!$AY$38&gt;0,'Bridge Quantities'!$AY$3,0))</f>
        <v>0</v>
      </c>
      <c r="E95" s="1166"/>
      <c r="F95" s="1166"/>
      <c r="G95" s="1166"/>
      <c r="H95" s="106">
        <f>IF('Bridge Quantities'!$AY$2=A43,0,IF('Bridge Quantities'!$AY$38&gt;0,'Bridge Quantities'!$AY$38,0))</f>
        <v>0</v>
      </c>
      <c r="I95" s="1167"/>
      <c r="J95" s="1167"/>
      <c r="K95" s="1167"/>
      <c r="L95" s="1167"/>
      <c r="M95" s="1167"/>
      <c r="N95" s="1167"/>
      <c r="O95" s="1167"/>
      <c r="P95" s="1167"/>
      <c r="Q95" s="1167"/>
      <c r="R95" s="1167"/>
      <c r="S95" s="1163">
        <f t="shared" si="2"/>
        <v>0</v>
      </c>
      <c r="T95" s="1163"/>
    </row>
    <row r="96" spans="1:20" ht="9.75" customHeight="1">
      <c r="A96" s="1164">
        <f>IF('Bridge Quantities'!$AZ$2=A43,0,IF('Bridge Quantities'!$AZ$38&gt;0,'Bridge Quantities'!$AZ$2,0))</f>
        <v>0</v>
      </c>
      <c r="B96" s="1165"/>
      <c r="C96" s="77">
        <f>IF('Bridge Quantities'!$AZ$2=A43,0,IF('Bridge Quantities'!$AZ$38&gt;0,'Bridge Quantities'!$AZ$4,0))</f>
        <v>0</v>
      </c>
      <c r="D96" s="1166">
        <f>IF('Bridge Quantities'!$AZ$2=A43,0,IF('Bridge Quantities'!$AZ$38&gt;0,'Bridge Quantities'!$AZ$3,0))</f>
        <v>0</v>
      </c>
      <c r="E96" s="1166"/>
      <c r="F96" s="1166"/>
      <c r="G96" s="1166"/>
      <c r="H96" s="106">
        <f>IF('Bridge Quantities'!$AZ$2=A43,0,IF('Bridge Quantities'!$AZ$38&gt;0,'Bridge Quantities'!$AZ$38,0))</f>
        <v>0</v>
      </c>
      <c r="I96" s="1167"/>
      <c r="J96" s="1167"/>
      <c r="K96" s="1167"/>
      <c r="L96" s="1167"/>
      <c r="M96" s="1167"/>
      <c r="N96" s="1167"/>
      <c r="O96" s="1167"/>
      <c r="P96" s="1167"/>
      <c r="Q96" s="1167"/>
      <c r="R96" s="1167"/>
      <c r="S96" s="1163">
        <f t="shared" si="2"/>
        <v>0</v>
      </c>
      <c r="T96" s="1163"/>
    </row>
    <row r="97" spans="1:20" ht="9.75" customHeight="1">
      <c r="A97" s="1164">
        <f>IF('Bridge Quantities'!$BA$2=A43,0,IF('Bridge Quantities'!$BA$38&gt;0,'Bridge Quantities'!$BA$2,0))</f>
        <v>0</v>
      </c>
      <c r="B97" s="1165"/>
      <c r="C97" s="77">
        <f>IF('Bridge Quantities'!$BA$2=A43,0,IF('Bridge Quantities'!$BA$38&gt;0,'Bridge Quantities'!$BA$4,0))</f>
        <v>0</v>
      </c>
      <c r="D97" s="1166">
        <f>IF('Bridge Quantities'!$BA$2=A43,0,IF('Bridge Quantities'!$BA$38&gt;0,'Bridge Quantities'!$BA$3,0))</f>
        <v>0</v>
      </c>
      <c r="E97" s="1166"/>
      <c r="F97" s="1166"/>
      <c r="G97" s="1166"/>
      <c r="H97" s="106">
        <f>IF('Bridge Quantities'!$BA$2=A43,0,IF('Bridge Quantities'!$BA$38&gt;0,'Bridge Quantities'!$BA$38,0))</f>
        <v>0</v>
      </c>
      <c r="I97" s="1167"/>
      <c r="J97" s="1167"/>
      <c r="K97" s="1167"/>
      <c r="L97" s="1167"/>
      <c r="M97" s="1167"/>
      <c r="N97" s="1167"/>
      <c r="O97" s="1167"/>
      <c r="P97" s="1167"/>
      <c r="Q97" s="1167"/>
      <c r="R97" s="1167"/>
      <c r="S97" s="1163">
        <f t="shared" si="2"/>
        <v>0</v>
      </c>
      <c r="T97" s="1163"/>
    </row>
    <row r="98" spans="1:20" ht="9.75" customHeight="1">
      <c r="A98" s="1164">
        <f>IF('Bridge Quantities'!$BC$2=A44,0,IF('Bridge Quantities'!$BC$38&gt;0,'Bridge Quantities'!$BC$2,0))</f>
        <v>0</v>
      </c>
      <c r="B98" s="1165"/>
      <c r="C98" s="77">
        <f>IF('Bridge Quantities'!$BC$2=A44,0,IF('Bridge Quantities'!$BC$38&gt;0,'Bridge Quantities'!$BC$4,0))</f>
        <v>0</v>
      </c>
      <c r="D98" s="1166">
        <f>IF('Bridge Quantities'!$BC$2=A44,0,IF('Bridge Quantities'!$BC$38&gt;0,'Bridge Quantities'!$BC$3,0))</f>
        <v>0</v>
      </c>
      <c r="E98" s="1166"/>
      <c r="F98" s="1166"/>
      <c r="G98" s="1166"/>
      <c r="H98" s="106">
        <f>IF('Bridge Quantities'!$BC$2=A44,0,IF('Bridge Quantities'!$BC$38&gt;0,'Bridge Quantities'!$BC$38,0))</f>
        <v>0</v>
      </c>
      <c r="I98" s="1167"/>
      <c r="J98" s="1167"/>
      <c r="K98" s="1167"/>
      <c r="L98" s="1167"/>
      <c r="M98" s="1167"/>
      <c r="N98" s="1167"/>
      <c r="O98" s="1167"/>
      <c r="P98" s="1167"/>
      <c r="Q98" s="1167"/>
      <c r="R98" s="1167"/>
      <c r="S98" s="1163">
        <f t="shared" si="2"/>
        <v>0</v>
      </c>
      <c r="T98" s="1163"/>
    </row>
    <row r="99" spans="1:20" ht="9.75" customHeight="1">
      <c r="A99" s="1164">
        <f>IF('Bridge Quantities'!$BD$2=A44,0,IF('Bridge Quantities'!$BD$38&gt;0,'Bridge Quantities'!$BD$2,0))</f>
        <v>0</v>
      </c>
      <c r="B99" s="1165"/>
      <c r="C99" s="77">
        <f>IF('Bridge Quantities'!$BD$2=A44,0,IF('Bridge Quantities'!$BD$38&gt;0,'Bridge Quantities'!$BD$4,0))</f>
        <v>0</v>
      </c>
      <c r="D99" s="1166">
        <f>IF('Bridge Quantities'!$BD$2=A44,0,IF('Bridge Quantities'!$BD$38&gt;0,'Bridge Quantities'!$BD$3,0))</f>
        <v>0</v>
      </c>
      <c r="E99" s="1166"/>
      <c r="F99" s="1166"/>
      <c r="G99" s="1166"/>
      <c r="H99" s="106">
        <f>IF('Bridge Quantities'!$BD$2=A44,0,IF('Bridge Quantities'!$BD$38&gt;0,'Bridge Quantities'!$BD$38,0))</f>
        <v>0</v>
      </c>
      <c r="I99" s="1167"/>
      <c r="J99" s="1167"/>
      <c r="K99" s="1167"/>
      <c r="L99" s="1167"/>
      <c r="M99" s="1167"/>
      <c r="N99" s="1167"/>
      <c r="O99" s="1167"/>
      <c r="P99" s="1167"/>
      <c r="Q99" s="1167"/>
      <c r="R99" s="1167"/>
      <c r="S99" s="1163">
        <f t="shared" si="2"/>
        <v>0</v>
      </c>
      <c r="T99" s="1163"/>
    </row>
    <row r="100" spans="1:20" ht="9.75" customHeight="1">
      <c r="A100" s="1164">
        <f>IF('Bridge Quantities'!$BE$2=A44,0,IF('Bridge Quantities'!$BE$38&gt;0,'Bridge Quantities'!$BE$2,0))</f>
        <v>0</v>
      </c>
      <c r="B100" s="1165"/>
      <c r="C100" s="77">
        <f>IF('Bridge Quantities'!$BE$2=A44,0,IF('Bridge Quantities'!$BE$38&gt;0,'Bridge Quantities'!$BE$4,0))</f>
        <v>0</v>
      </c>
      <c r="D100" s="1166">
        <f>IF('Bridge Quantities'!$BE$2=A44,0,IF('Bridge Quantities'!$BE$38&gt;0,'Bridge Quantities'!$BE$3,0))</f>
        <v>0</v>
      </c>
      <c r="E100" s="1166"/>
      <c r="F100" s="1166"/>
      <c r="G100" s="1166"/>
      <c r="H100" s="106">
        <f>IF('Bridge Quantities'!$BE$2=A44,0,IF('Bridge Quantities'!$BE$38&gt;0,'Bridge Quantities'!$BE$38,0))</f>
        <v>0</v>
      </c>
      <c r="I100" s="1167"/>
      <c r="J100" s="1167"/>
      <c r="K100" s="1167"/>
      <c r="L100" s="1167"/>
      <c r="M100" s="1167"/>
      <c r="N100" s="1167"/>
      <c r="O100" s="1167"/>
      <c r="P100" s="1167"/>
      <c r="Q100" s="1167"/>
      <c r="R100" s="1167"/>
      <c r="S100" s="1163">
        <f t="shared" si="2"/>
        <v>0</v>
      </c>
      <c r="T100" s="1163"/>
    </row>
    <row r="101" spans="1:20" ht="9.75" customHeight="1">
      <c r="A101" s="1164">
        <f>IF('Bridge Quantities'!$BF$2=A44,0,IF('Bridge Quantities'!$BF$38&gt;0,'Bridge Quantities'!$BF$2,0))</f>
        <v>0</v>
      </c>
      <c r="B101" s="1165"/>
      <c r="C101" s="77">
        <f>IF('Bridge Quantities'!$BF$2=A44,0,IF('Bridge Quantities'!$BF$38&gt;0,'Bridge Quantities'!$BF$4,0))</f>
        <v>0</v>
      </c>
      <c r="D101" s="1166">
        <f>IF('Bridge Quantities'!$BF$2=A44,0,IF('Bridge Quantities'!$BF$38&gt;0,'Bridge Quantities'!$BF$3,0))</f>
        <v>0</v>
      </c>
      <c r="E101" s="1166"/>
      <c r="F101" s="1166"/>
      <c r="G101" s="1166"/>
      <c r="H101" s="106">
        <f>IF('Bridge Quantities'!$BF$2=A44,0,IF('Bridge Quantities'!$BF$38&gt;0,'Bridge Quantities'!$BF$38,0))</f>
        <v>0</v>
      </c>
      <c r="I101" s="1167"/>
      <c r="J101" s="1167"/>
      <c r="K101" s="1167"/>
      <c r="L101" s="1167"/>
      <c r="M101" s="1167"/>
      <c r="N101" s="1167"/>
      <c r="O101" s="1167"/>
      <c r="P101" s="1167"/>
      <c r="Q101" s="1167"/>
      <c r="R101" s="1167"/>
      <c r="S101" s="1163">
        <f t="shared" si="2"/>
        <v>0</v>
      </c>
      <c r="T101" s="1163"/>
    </row>
    <row r="102" spans="1:20" ht="9.75" customHeight="1">
      <c r="A102" s="1164">
        <f>IF('Bridge Quantities'!$BG$2=A44,0,IF('Bridge Quantities'!$BG$38&gt;0,'Bridge Quantities'!$BG$2,0))</f>
        <v>0</v>
      </c>
      <c r="B102" s="1165"/>
      <c r="C102" s="77">
        <f>IF('Bridge Quantities'!$BG$2=A44,0,IF('Bridge Quantities'!$BG$38&gt;0,'Bridge Quantities'!$BG$4,0))</f>
        <v>0</v>
      </c>
      <c r="D102" s="1166">
        <f>IF('Bridge Quantities'!$BG$2=A44,0,IF('Bridge Quantities'!$BG$38&gt;0,'Bridge Quantities'!$BG$3,0))</f>
        <v>0</v>
      </c>
      <c r="E102" s="1166"/>
      <c r="F102" s="1166"/>
      <c r="G102" s="1166"/>
      <c r="H102" s="106">
        <f>IF('Bridge Quantities'!$BG$2=A44,0,IF('Bridge Quantities'!$BG$38&gt;0,'Bridge Quantities'!$BG$38,0))</f>
        <v>0</v>
      </c>
      <c r="I102" s="1167"/>
      <c r="J102" s="1167"/>
      <c r="K102" s="1167"/>
      <c r="L102" s="1167"/>
      <c r="M102" s="1167"/>
      <c r="N102" s="1167"/>
      <c r="O102" s="1167"/>
      <c r="P102" s="1167"/>
      <c r="Q102" s="1167"/>
      <c r="R102" s="1167"/>
      <c r="S102" s="1163">
        <f t="shared" si="2"/>
        <v>0</v>
      </c>
      <c r="T102" s="1163"/>
    </row>
    <row r="103" spans="1:20" ht="9.75" customHeight="1">
      <c r="A103" s="1164">
        <f>IF('Bridge Quantities'!$BI$2=A45,0,IF('Bridge Quantities'!$BI$38&gt;0,'Bridge Quantities'!$BI$2,0))</f>
        <v>0</v>
      </c>
      <c r="B103" s="1165"/>
      <c r="C103" s="77">
        <f>IF('Bridge Quantities'!$BI$2=A45,0,IF('Bridge Quantities'!$BI$38&gt;0,'Bridge Quantities'!$BI$4,0))</f>
        <v>0</v>
      </c>
      <c r="D103" s="1166">
        <f>IF('Bridge Quantities'!$BI$2=A45,0,IF('Bridge Quantities'!$BI$38&gt;0,'Bridge Quantities'!$BI$3,0))</f>
        <v>0</v>
      </c>
      <c r="E103" s="1166"/>
      <c r="F103" s="1166"/>
      <c r="G103" s="1166"/>
      <c r="H103" s="106">
        <f>IF('Bridge Quantities'!$BI$2=A45,0,IF('Bridge Quantities'!$BI$38&gt;0,'Bridge Quantities'!$BI$38,0))</f>
        <v>0</v>
      </c>
      <c r="I103" s="1167"/>
      <c r="J103" s="1167"/>
      <c r="K103" s="1167"/>
      <c r="L103" s="1167"/>
      <c r="M103" s="1167"/>
      <c r="N103" s="1167"/>
      <c r="O103" s="1167"/>
      <c r="P103" s="1167"/>
      <c r="Q103" s="1167"/>
      <c r="R103" s="1167"/>
      <c r="S103" s="1163">
        <f t="shared" si="2"/>
        <v>0</v>
      </c>
      <c r="T103" s="1163"/>
    </row>
    <row r="104" spans="1:20" ht="9.75" customHeight="1">
      <c r="A104" s="1164">
        <f>IF('Bridge Quantities'!$BJ$2=A45,0,IF('Bridge Quantities'!$BJ$38&gt;0,'Bridge Quantities'!$BJ$2,0))</f>
        <v>0</v>
      </c>
      <c r="B104" s="1165"/>
      <c r="C104" s="77">
        <f>IF('Bridge Quantities'!$BJ$2=A45,0,IF('Bridge Quantities'!$BJ$38&gt;0,'Bridge Quantities'!$BJ$4,0))</f>
        <v>0</v>
      </c>
      <c r="D104" s="1166">
        <f>IF('Bridge Quantities'!$BJ$2=A45,0,IF('Bridge Quantities'!$BJ$38&gt;0,'Bridge Quantities'!$BJ$3,0))</f>
        <v>0</v>
      </c>
      <c r="E104" s="1166"/>
      <c r="F104" s="1166"/>
      <c r="G104" s="1166"/>
      <c r="H104" s="106">
        <f>IF('Bridge Quantities'!$BJ$2=A45,0,IF('Bridge Quantities'!$BJ$38&gt;0,'Bridge Quantities'!$BJ$38,0))</f>
        <v>0</v>
      </c>
      <c r="I104" s="1167"/>
      <c r="J104" s="1167"/>
      <c r="K104" s="1167"/>
      <c r="L104" s="1167"/>
      <c r="M104" s="1167"/>
      <c r="N104" s="1167"/>
      <c r="O104" s="1167"/>
      <c r="P104" s="1167"/>
      <c r="Q104" s="1167"/>
      <c r="R104" s="1167"/>
      <c r="S104" s="1163">
        <f t="shared" si="2"/>
        <v>0</v>
      </c>
      <c r="T104" s="1163"/>
    </row>
    <row r="105" spans="1:20" ht="9.75" customHeight="1">
      <c r="A105" s="1164">
        <f>IF('Bridge Quantities'!$BK$2=A45,0,IF('Bridge Quantities'!$BK$38&gt;0,'Bridge Quantities'!$BK$2,0))</f>
        <v>0</v>
      </c>
      <c r="B105" s="1165"/>
      <c r="C105" s="77">
        <f>IF('Bridge Quantities'!$BK$2=A45,0,IF('Bridge Quantities'!$BK$38&gt;0,'Bridge Quantities'!$BK$4,0))</f>
        <v>0</v>
      </c>
      <c r="D105" s="1166">
        <f>IF('Bridge Quantities'!$BK$2=A45,0,IF('Bridge Quantities'!$BK$38&gt;0,'Bridge Quantities'!$BK$3,0))</f>
        <v>0</v>
      </c>
      <c r="E105" s="1166"/>
      <c r="F105" s="1166"/>
      <c r="G105" s="1166"/>
      <c r="H105" s="106">
        <f>IF('Bridge Quantities'!$BK$2=A45,0,IF('Bridge Quantities'!$BK$38&gt;0,'Bridge Quantities'!$BK$38,0))</f>
        <v>0</v>
      </c>
      <c r="I105" s="1167"/>
      <c r="J105" s="1167"/>
      <c r="K105" s="1167"/>
      <c r="L105" s="1167"/>
      <c r="M105" s="1167"/>
      <c r="N105" s="1167"/>
      <c r="O105" s="1167"/>
      <c r="P105" s="1167"/>
      <c r="Q105" s="1167"/>
      <c r="R105" s="1167"/>
      <c r="S105" s="1163">
        <f t="shared" si="2"/>
        <v>0</v>
      </c>
      <c r="T105" s="1163"/>
    </row>
    <row r="106" spans="1:20" ht="9.75" customHeight="1">
      <c r="A106" s="1164">
        <f>IF('Bridge Quantities'!$BL$2=A45,0,IF('Bridge Quantities'!$BL$38&gt;0,'Bridge Quantities'!$BL$2,0))</f>
        <v>0</v>
      </c>
      <c r="B106" s="1165"/>
      <c r="C106" s="77">
        <f>IF('Bridge Quantities'!$BL$2=A45,0,IF('Bridge Quantities'!$BL$38&gt;0,'Bridge Quantities'!$BL$4,0))</f>
        <v>0</v>
      </c>
      <c r="D106" s="1166">
        <f>IF('Bridge Quantities'!$BL$2=A45,0,IF('Bridge Quantities'!$BL$38&gt;0,'Bridge Quantities'!$BL$3,0))</f>
        <v>0</v>
      </c>
      <c r="E106" s="1166"/>
      <c r="F106" s="1166"/>
      <c r="G106" s="1166"/>
      <c r="H106" s="106">
        <f>IF('Bridge Quantities'!$BL$2=A45,0,IF('Bridge Quantities'!$BL$38&gt;0,'Bridge Quantities'!$BL$38,0))</f>
        <v>0</v>
      </c>
      <c r="I106" s="1167"/>
      <c r="J106" s="1167"/>
      <c r="K106" s="1167"/>
      <c r="L106" s="1167"/>
      <c r="M106" s="1167"/>
      <c r="N106" s="1167"/>
      <c r="O106" s="1167"/>
      <c r="P106" s="1167"/>
      <c r="Q106" s="1167"/>
      <c r="R106" s="1167"/>
      <c r="S106" s="1163">
        <f t="shared" si="2"/>
        <v>0</v>
      </c>
      <c r="T106" s="1163"/>
    </row>
    <row r="107" spans="1:20" ht="9.75" customHeight="1">
      <c r="A107" s="1164">
        <f>IF('Bridge Quantities'!$BM$2=A45,0,IF('Bridge Quantities'!$BM$38&gt;0,'Bridge Quantities'!$BM$2,0))</f>
        <v>0</v>
      </c>
      <c r="B107" s="1165"/>
      <c r="C107" s="77">
        <f>IF('Bridge Quantities'!$BM$2=A45,0,IF('Bridge Quantities'!$BM$38&gt;0,'Bridge Quantities'!$BM$4,0))</f>
        <v>0</v>
      </c>
      <c r="D107" s="1166">
        <f>IF('Bridge Quantities'!$BM$2=A45,0,IF('Bridge Quantities'!$BM$38&gt;0,'Bridge Quantities'!$BM$3,0))</f>
        <v>0</v>
      </c>
      <c r="E107" s="1166"/>
      <c r="F107" s="1166"/>
      <c r="G107" s="1166"/>
      <c r="H107" s="106">
        <f>IF('Bridge Quantities'!$BM$2=A45,0,IF('Bridge Quantities'!$BM$38&gt;0,'Bridge Quantities'!$BM$38,0))</f>
        <v>0</v>
      </c>
      <c r="I107" s="1167"/>
      <c r="J107" s="1167"/>
      <c r="K107" s="1167"/>
      <c r="L107" s="1167"/>
      <c r="M107" s="1167"/>
      <c r="N107" s="1167"/>
      <c r="O107" s="1167"/>
      <c r="P107" s="1167"/>
      <c r="Q107" s="1167"/>
      <c r="R107" s="1167"/>
      <c r="S107" s="1163">
        <f t="shared" si="2"/>
        <v>0</v>
      </c>
      <c r="T107" s="1163"/>
    </row>
    <row r="108" spans="1:20" ht="9.75" customHeight="1">
      <c r="A108" s="1164">
        <f>IF('Bridge Quantities'!$BO$2=A46,0,IF('Bridge Quantities'!$BO$38&gt;0,'Bridge Quantities'!$BO$2,0))</f>
        <v>0</v>
      </c>
      <c r="B108" s="1165"/>
      <c r="C108" s="77">
        <f>IF('Bridge Quantities'!$BO$2=A46,0,IF('Bridge Quantities'!$BO$38&gt;0,'Bridge Quantities'!$BO$4,0))</f>
        <v>0</v>
      </c>
      <c r="D108" s="1166">
        <f>IF('Bridge Quantities'!$BO$2=A46,0,IF('Bridge Quantities'!$BO$38&gt;0,'Bridge Quantities'!$BO$3,0))</f>
        <v>0</v>
      </c>
      <c r="E108" s="1166"/>
      <c r="F108" s="1166"/>
      <c r="G108" s="1166"/>
      <c r="H108" s="106">
        <f>IF('Bridge Quantities'!$BO$2=A46,0,IF('Bridge Quantities'!$BO$38&gt;0,'Bridge Quantities'!$BO$38,0))</f>
        <v>0</v>
      </c>
      <c r="I108" s="1167"/>
      <c r="J108" s="1167"/>
      <c r="K108" s="1167"/>
      <c r="L108" s="1167"/>
      <c r="M108" s="1167"/>
      <c r="N108" s="1167"/>
      <c r="O108" s="1167"/>
      <c r="P108" s="1167"/>
      <c r="Q108" s="1167"/>
      <c r="R108" s="1167"/>
      <c r="S108" s="1163">
        <f t="shared" si="2"/>
        <v>0</v>
      </c>
      <c r="T108" s="1163"/>
    </row>
    <row r="109" spans="1:20" ht="9.75" customHeight="1">
      <c r="A109" s="1164">
        <f>IF('Bridge Quantities'!$BP$2=A46,0,IF('Bridge Quantities'!$BP$38&gt;0,'Bridge Quantities'!$BP$2,0))</f>
        <v>0</v>
      </c>
      <c r="B109" s="1165"/>
      <c r="C109" s="77">
        <f>IF('Bridge Quantities'!$BP$2=A46,0,IF('Bridge Quantities'!$BP$38&gt;0,'Bridge Quantities'!$BP$4,0))</f>
        <v>0</v>
      </c>
      <c r="D109" s="1166">
        <f>IF('Bridge Quantities'!$BP$2=A46,0,IF('Bridge Quantities'!$BP$38&gt;0,'Bridge Quantities'!$BP3,0))</f>
        <v>0</v>
      </c>
      <c r="E109" s="1166"/>
      <c r="F109" s="1166"/>
      <c r="G109" s="1166"/>
      <c r="H109" s="106">
        <f>IF('Bridge Quantities'!$BP$2=A46,0,IF('Bridge Quantities'!$BP$38&gt;0,'Bridge Quantities'!$BP$38,0))</f>
        <v>0</v>
      </c>
      <c r="I109" s="1167"/>
      <c r="J109" s="1167"/>
      <c r="K109" s="1167"/>
      <c r="L109" s="1167"/>
      <c r="M109" s="1167"/>
      <c r="N109" s="1167"/>
      <c r="O109" s="1167"/>
      <c r="P109" s="1167"/>
      <c r="Q109" s="1167"/>
      <c r="R109" s="1167"/>
      <c r="S109" s="1163">
        <f t="shared" si="2"/>
        <v>0</v>
      </c>
      <c r="T109" s="1163"/>
    </row>
    <row r="110" spans="1:20" ht="9.75" customHeight="1">
      <c r="A110" s="1164">
        <f>IF('Bridge Quantities'!$BQ$2=A46,0,IF('Bridge Quantities'!$BQ$38&gt;0,'Bridge Quantities'!$BQ$2,0))</f>
        <v>0</v>
      </c>
      <c r="B110" s="1165"/>
      <c r="C110" s="77">
        <f>IF('Bridge Quantities'!$BQ$2=A46,0,IF('Bridge Quantities'!$BQ$38&gt;0,'Bridge Quantities'!$BQ$4,0))</f>
        <v>0</v>
      </c>
      <c r="D110" s="1166">
        <f>IF('Bridge Quantities'!$BQ$2=A46,0,IF('Bridge Quantities'!$BQ$38&gt;0,'Bridge Quantities'!$BQ$3,0))</f>
        <v>0</v>
      </c>
      <c r="E110" s="1166"/>
      <c r="F110" s="1166"/>
      <c r="G110" s="1166"/>
      <c r="H110" s="106">
        <f>IF('Bridge Quantities'!$BQ$2=A46,0,IF('Bridge Quantities'!$BQ$38&gt;0,'Bridge Quantities'!$BQ$38,0))</f>
        <v>0</v>
      </c>
      <c r="I110" s="1167"/>
      <c r="J110" s="1167"/>
      <c r="K110" s="1167"/>
      <c r="L110" s="1167"/>
      <c r="M110" s="1167"/>
      <c r="N110" s="1167"/>
      <c r="O110" s="1167"/>
      <c r="P110" s="1167"/>
      <c r="Q110" s="1167"/>
      <c r="R110" s="1167"/>
      <c r="S110" s="1163">
        <f t="shared" si="2"/>
        <v>0</v>
      </c>
      <c r="T110" s="1163"/>
    </row>
    <row r="111" spans="1:20" ht="9.75" customHeight="1">
      <c r="A111" s="1164">
        <f>IF('Bridge Quantities'!$BR$2=A46,0,IF('Bridge Quantities'!$BR$38&gt;0,'Bridge Quantities'!$BR$2,0))</f>
        <v>0</v>
      </c>
      <c r="B111" s="1165"/>
      <c r="C111" s="77">
        <f>IF('Bridge Quantities'!$BR$2=A46,0,IF('Bridge Quantities'!$BR$38&gt;0,'Bridge Quantities'!$BR$4,0))</f>
        <v>0</v>
      </c>
      <c r="D111" s="1166">
        <f>IF('Bridge Quantities'!$BR$2=A46,0,IF('Bridge Quantities'!$BR$38&gt;0,'Bridge Quantities'!$BR$3,0))</f>
        <v>0</v>
      </c>
      <c r="E111" s="1166"/>
      <c r="F111" s="1166"/>
      <c r="G111" s="1166"/>
      <c r="H111" s="106">
        <f>IF('Bridge Quantities'!$BR$2=A46,0,IF('Bridge Quantities'!$BR$38&gt;0,'Bridge Quantities'!$BR$38,0))</f>
        <v>0</v>
      </c>
      <c r="I111" s="1167"/>
      <c r="J111" s="1167"/>
      <c r="K111" s="1167"/>
      <c r="L111" s="1167"/>
      <c r="M111" s="1167"/>
      <c r="N111" s="1167"/>
      <c r="O111" s="1167"/>
      <c r="P111" s="1167"/>
      <c r="Q111" s="1167"/>
      <c r="R111" s="1167"/>
      <c r="S111" s="1163">
        <f t="shared" si="2"/>
        <v>0</v>
      </c>
      <c r="T111" s="1163"/>
    </row>
    <row r="112" spans="1:20" ht="9.75" customHeight="1">
      <c r="A112" s="1164">
        <f>IF('Bridge Quantities'!$BS$2=A46,0,IF('Bridge Quantities'!$BS$38&gt;0,'Bridge Quantities'!$BS$2,0))</f>
        <v>0</v>
      </c>
      <c r="B112" s="1165"/>
      <c r="C112" s="77">
        <f>IF('Bridge Quantities'!$BS$2=A46,0,IF('Bridge Quantities'!$BS$38&gt;0,'Bridge Quantities'!$BS$4,0))</f>
        <v>0</v>
      </c>
      <c r="D112" s="1166">
        <f>IF('Bridge Quantities'!$BS$2=A46,0,IF('Bridge Quantities'!$BS$38&gt;0,'Bridge Quantities'!$BS$3,0))</f>
        <v>0</v>
      </c>
      <c r="E112" s="1166"/>
      <c r="F112" s="1166"/>
      <c r="G112" s="1166"/>
      <c r="H112" s="106">
        <f>IF('Bridge Quantities'!$BS$2=A46,0,IF('Bridge Quantities'!$BS$38&gt;0,'Bridge Quantities'!$BS$38,0))</f>
        <v>0</v>
      </c>
      <c r="I112" s="1167"/>
      <c r="J112" s="1167"/>
      <c r="K112" s="1167"/>
      <c r="L112" s="1167"/>
      <c r="M112" s="1167"/>
      <c r="N112" s="1167"/>
      <c r="O112" s="1167"/>
      <c r="P112" s="1167"/>
      <c r="Q112" s="1167"/>
      <c r="R112" s="1167"/>
      <c r="S112" s="1163">
        <f t="shared" si="2"/>
        <v>0</v>
      </c>
      <c r="T112" s="1163"/>
    </row>
    <row r="113" spans="1:20" ht="9.75" customHeight="1">
      <c r="A113" s="1164">
        <f>IF('Bridge Quantities'!$BV$38&gt;0,'Bridge Quantities'!$BV$2,0)</f>
        <v>0</v>
      </c>
      <c r="B113" s="1165"/>
      <c r="C113" s="77">
        <f>IF('Bridge Quantities'!$BV$38&gt;0,'Bridge Quantities'!$BV$4,0)</f>
        <v>0</v>
      </c>
      <c r="D113" s="1166">
        <f>IF('Bridge Quantities'!$BV$38&gt;0,'Bridge Quantities'!$BV$3,0)</f>
        <v>0</v>
      </c>
      <c r="E113" s="1166"/>
      <c r="F113" s="1166"/>
      <c r="G113" s="1166"/>
      <c r="H113" s="106">
        <f>IF('Bridge Quantities'!$BV$38&gt;0,'Bridge Quantities'!$BV$38,0)</f>
        <v>0</v>
      </c>
      <c r="I113" s="1167"/>
      <c r="J113" s="1167"/>
      <c r="K113" s="1167"/>
      <c r="L113" s="1167"/>
      <c r="M113" s="1167"/>
      <c r="N113" s="1167"/>
      <c r="O113" s="1167"/>
      <c r="P113" s="1167"/>
      <c r="Q113" s="1167"/>
      <c r="R113" s="1167"/>
      <c r="S113" s="1163">
        <f t="shared" si="2"/>
        <v>0</v>
      </c>
      <c r="T113" s="1163"/>
    </row>
    <row r="114" spans="1:20" ht="9.75" customHeight="1">
      <c r="A114" s="1164">
        <f>IF('Bridge Quantities'!$BT$38&gt;0,'Bridge Quantities'!$BT$2,0)</f>
        <v>0</v>
      </c>
      <c r="B114" s="1165"/>
      <c r="C114" s="77">
        <f>IF('Bridge Quantities'!$BT$38&gt;0,'Bridge Quantities'!$BT$4,0)</f>
        <v>0</v>
      </c>
      <c r="D114" s="1166">
        <f>IF('Bridge Quantities'!$BT$38&gt;0,'Bridge Quantities'!$BT$3,0)</f>
        <v>0</v>
      </c>
      <c r="E114" s="1166"/>
      <c r="F114" s="1166"/>
      <c r="G114" s="1166"/>
      <c r="H114" s="106">
        <f>IF('Bridge Quantities'!$BT$38&gt;0,'Bridge Quantities'!$BT$38,0)</f>
        <v>0</v>
      </c>
      <c r="I114" s="1167"/>
      <c r="J114" s="1167"/>
      <c r="K114" s="1167"/>
      <c r="L114" s="1167"/>
      <c r="M114" s="1167"/>
      <c r="N114" s="1167"/>
      <c r="O114" s="1167"/>
      <c r="P114" s="1167"/>
      <c r="Q114" s="1167"/>
      <c r="R114" s="1167"/>
      <c r="S114" s="1163">
        <f t="shared" si="2"/>
        <v>0</v>
      </c>
      <c r="T114" s="1163"/>
    </row>
    <row r="115" spans="1:20" ht="9.75" customHeight="1">
      <c r="A115" s="1164">
        <f>IF('Bridge Quantities'!$BU$38&gt;0,'Bridge Quantities'!$BU$2,0)</f>
        <v>0</v>
      </c>
      <c r="B115" s="1165"/>
      <c r="C115" s="77">
        <f>IF('Bridge Quantities'!$BU$38&gt;0,'Bridge Quantities'!$BU$4,0)</f>
        <v>0</v>
      </c>
      <c r="D115" s="1166">
        <f>IF('Bridge Quantities'!$BU$38&gt;0,'Bridge Quantities'!$BU$3,0)</f>
        <v>0</v>
      </c>
      <c r="E115" s="1166"/>
      <c r="F115" s="1166"/>
      <c r="G115" s="1166"/>
      <c r="H115" s="106">
        <f>IF('Bridge Quantities'!$BU$38&gt;0,'Bridge Quantities'!$BU$38,0)</f>
        <v>0</v>
      </c>
      <c r="I115" s="1167"/>
      <c r="J115" s="1167"/>
      <c r="K115" s="1167"/>
      <c r="L115" s="1167"/>
      <c r="M115" s="1167"/>
      <c r="N115" s="1167"/>
      <c r="O115" s="1167"/>
      <c r="P115" s="1167"/>
      <c r="Q115" s="1167"/>
      <c r="R115" s="1167"/>
      <c r="S115" s="1163">
        <f t="shared" si="2"/>
        <v>0</v>
      </c>
      <c r="T115" s="1163"/>
    </row>
    <row r="116" spans="1:20" ht="9.75" customHeight="1">
      <c r="A116" s="1164">
        <f>IF('Bridge Quantities'!$BW$38&gt;0,'Bridge Quantities'!$BW$2,0)</f>
        <v>0</v>
      </c>
      <c r="B116" s="1165"/>
      <c r="C116" s="77">
        <f>IF('Bridge Quantities'!$BW$38&gt;0,'Bridge Quantities'!$BW$4,0)</f>
        <v>0</v>
      </c>
      <c r="D116" s="1166">
        <f>IF('Bridge Quantities'!$BW$38&gt;0,'Bridge Quantities'!$BW$3,0)</f>
        <v>0</v>
      </c>
      <c r="E116" s="1166"/>
      <c r="F116" s="1166"/>
      <c r="G116" s="1166"/>
      <c r="H116" s="106">
        <f>IF('Bridge Quantities'!$BW$38&gt;0,'Bridge Quantities'!$BW$38,0)</f>
        <v>0</v>
      </c>
      <c r="I116" s="1167"/>
      <c r="J116" s="1167"/>
      <c r="K116" s="1167"/>
      <c r="L116" s="1167"/>
      <c r="M116" s="1167"/>
      <c r="N116" s="1167"/>
      <c r="O116" s="1167"/>
      <c r="P116" s="1167"/>
      <c r="Q116" s="1167"/>
      <c r="R116" s="1167"/>
      <c r="S116" s="1163">
        <f t="shared" si="2"/>
        <v>0</v>
      </c>
      <c r="T116" s="1163"/>
    </row>
    <row r="117" spans="1:20" ht="9.75" customHeight="1">
      <c r="A117" s="1164">
        <f>IF('Bridge Quantities'!$BX$38&gt;0,'Bridge Quantities'!$BX$2,0)</f>
        <v>0</v>
      </c>
      <c r="B117" s="1165"/>
      <c r="C117" s="77">
        <f>IF('Bridge Quantities'!$BX$38&gt;0,'Bridge Quantities'!$BX$4,0)</f>
        <v>0</v>
      </c>
      <c r="D117" s="1166">
        <f>IF('Bridge Quantities'!$BX$38&gt;0,'Bridge Quantities'!$BX$3,0)</f>
        <v>0</v>
      </c>
      <c r="E117" s="1166"/>
      <c r="F117" s="1166"/>
      <c r="G117" s="1166"/>
      <c r="H117" s="106">
        <f>IF('Bridge Quantities'!$BX$38&gt;0,'Bridge Quantities'!$BX$38,0)</f>
        <v>0</v>
      </c>
      <c r="I117" s="1167"/>
      <c r="J117" s="1167"/>
      <c r="K117" s="1167"/>
      <c r="L117" s="1167"/>
      <c r="M117" s="1167"/>
      <c r="N117" s="1167"/>
      <c r="O117" s="1167"/>
      <c r="P117" s="1167"/>
      <c r="Q117" s="1167"/>
      <c r="R117" s="1167"/>
      <c r="S117" s="1163">
        <f t="shared" si="2"/>
        <v>0</v>
      </c>
      <c r="T117" s="1163"/>
    </row>
    <row r="118" spans="1:20" ht="9.75" customHeight="1">
      <c r="A118" s="1164">
        <f>IF('Bridge Quantities'!$BY$38&gt;0,'Bridge Quantities'!$BY$2,0)</f>
        <v>0</v>
      </c>
      <c r="B118" s="1165"/>
      <c r="C118" s="77">
        <f>IF('Bridge Quantities'!$BY$38&gt;0,'Bridge Quantities'!$BY$4,0)</f>
        <v>0</v>
      </c>
      <c r="D118" s="1166">
        <f>IF('Bridge Quantities'!$BY$38&gt;0,'Bridge Quantities'!$BY$3,0)</f>
        <v>0</v>
      </c>
      <c r="E118" s="1166"/>
      <c r="F118" s="1166"/>
      <c r="G118" s="1166"/>
      <c r="H118" s="106">
        <f>IF('Bridge Quantities'!$BY$38&gt;0,'Bridge Quantities'!$BY$38,0)</f>
        <v>0</v>
      </c>
      <c r="I118" s="1167"/>
      <c r="J118" s="1167"/>
      <c r="K118" s="1167"/>
      <c r="L118" s="1167"/>
      <c r="M118" s="1167"/>
      <c r="N118" s="1167"/>
      <c r="O118" s="1167"/>
      <c r="P118" s="1167"/>
      <c r="Q118" s="1167"/>
      <c r="R118" s="1167"/>
      <c r="S118" s="1163">
        <f t="shared" si="2"/>
        <v>0</v>
      </c>
      <c r="T118" s="1163"/>
    </row>
    <row r="119" spans="1:20" ht="9.75" customHeight="1">
      <c r="A119" s="1164">
        <f>IF('Bridge Quantities'!$BZ$38&gt;0,'Bridge Quantities'!$BZ$2,0)</f>
        <v>0</v>
      </c>
      <c r="B119" s="1165"/>
      <c r="C119" s="77">
        <f>IF('Bridge Quantities'!$BZ$38&gt;0,'Bridge Quantities'!$BZ$4,0)</f>
        <v>0</v>
      </c>
      <c r="D119" s="1166">
        <f>IF('Bridge Quantities'!$BZ$38&gt;0,'Bridge Quantities'!$BZ$3,0)</f>
        <v>0</v>
      </c>
      <c r="E119" s="1166"/>
      <c r="F119" s="1166"/>
      <c r="G119" s="1166"/>
      <c r="H119" s="106">
        <f>IF('Bridge Quantities'!$BZ$38&gt;0,'Bridge Quantities'!$BZ$38,0)</f>
        <v>0</v>
      </c>
      <c r="I119" s="1167"/>
      <c r="J119" s="1167"/>
      <c r="K119" s="1167"/>
      <c r="L119" s="1167"/>
      <c r="M119" s="1167"/>
      <c r="N119" s="1167"/>
      <c r="O119" s="1167"/>
      <c r="P119" s="1167"/>
      <c r="Q119" s="1167"/>
      <c r="R119" s="1167"/>
      <c r="S119" s="1163">
        <f t="shared" si="2"/>
        <v>0</v>
      </c>
      <c r="T119" s="1163"/>
    </row>
    <row r="120" spans="1:20" ht="9.75" customHeight="1">
      <c r="A120" s="1164">
        <f>IF('Bridge Quantities'!$CA$38&gt;0,'Bridge Quantities'!$CA$2,0)</f>
        <v>0</v>
      </c>
      <c r="B120" s="1165"/>
      <c r="C120" s="77">
        <f>IF('Bridge Quantities'!$CA$38&gt;0,'Bridge Quantities'!$CA$4,0)</f>
        <v>0</v>
      </c>
      <c r="D120" s="1166">
        <f>IF('Bridge Quantities'!$CA$38&gt;0,'Bridge Quantities'!$CA$3,0)</f>
        <v>0</v>
      </c>
      <c r="E120" s="1166"/>
      <c r="F120" s="1166"/>
      <c r="G120" s="1166"/>
      <c r="H120" s="106">
        <f>IF('Bridge Quantities'!$CA$38&gt;0,'Bridge Quantities'!$CA$38,0)</f>
        <v>0</v>
      </c>
      <c r="I120" s="1167"/>
      <c r="J120" s="1167"/>
      <c r="K120" s="1167"/>
      <c r="L120" s="1167"/>
      <c r="M120" s="1167"/>
      <c r="N120" s="1167"/>
      <c r="O120" s="1167"/>
      <c r="P120" s="1167"/>
      <c r="Q120" s="1167"/>
      <c r="R120" s="1167"/>
      <c r="S120" s="1163">
        <f t="shared" si="2"/>
        <v>0</v>
      </c>
      <c r="T120" s="1163"/>
    </row>
    <row r="121" spans="1:20" ht="9.75" customHeight="1">
      <c r="A121" s="1164">
        <f>IF('Bridge Quantities'!$AC$38&gt;0,'Bridge Quantities'!$AC$2,0)</f>
        <v>0</v>
      </c>
      <c r="B121" s="1165"/>
      <c r="C121" s="77">
        <f>IF('Bridge Quantities'!$AC$38&gt;0,'Bridge Quantities'!$AC$4,0)</f>
        <v>0</v>
      </c>
      <c r="D121" s="1166">
        <f>IF('Bridge Quantities'!$AC$38&gt;0,'Bridge Quantities'!$AC$3,0)</f>
        <v>0</v>
      </c>
      <c r="E121" s="1166"/>
      <c r="F121" s="1166"/>
      <c r="G121" s="1166"/>
      <c r="H121" s="106">
        <f>IF('Bridge Quantities'!$AC$38&gt;0,'Bridge Quantities'!$AC$38,0)</f>
        <v>0</v>
      </c>
      <c r="I121" s="1167"/>
      <c r="J121" s="1167"/>
      <c r="K121" s="1167"/>
      <c r="L121" s="1167"/>
      <c r="M121" s="1167"/>
      <c r="N121" s="1167"/>
      <c r="O121" s="1167"/>
      <c r="P121" s="1167"/>
      <c r="Q121" s="1167"/>
      <c r="R121" s="1167"/>
      <c r="S121" s="1163">
        <f t="shared" si="2"/>
        <v>0</v>
      </c>
      <c r="T121" s="1163"/>
    </row>
    <row r="122" spans="1:20" ht="9.75" customHeight="1">
      <c r="A122" s="1164">
        <f>IF('Bridge Quantities'!$CB$38&gt;0,'Bridge Quantities'!$CB$2,0)</f>
        <v>0</v>
      </c>
      <c r="B122" s="1165"/>
      <c r="C122" s="77">
        <f>IF('Bridge Quantities'!$CB$38&gt;0,'Bridge Quantities'!$CB$4,0)</f>
        <v>0</v>
      </c>
      <c r="D122" s="1166">
        <f>IF('Bridge Quantities'!$CB$38&gt;0,'Bridge Quantities'!$CB$3,0)</f>
        <v>0</v>
      </c>
      <c r="E122" s="1166"/>
      <c r="F122" s="1166"/>
      <c r="G122" s="1166"/>
      <c r="H122" s="106">
        <f>IF('Bridge Quantities'!$CB$38&gt;0,'Bridge Quantities'!$CB$38,0)</f>
        <v>0</v>
      </c>
      <c r="I122" s="1167"/>
      <c r="J122" s="1167"/>
      <c r="K122" s="1167"/>
      <c r="L122" s="1167"/>
      <c r="M122" s="1167"/>
      <c r="N122" s="1167"/>
      <c r="O122" s="1167"/>
      <c r="P122" s="1167"/>
      <c r="Q122" s="1167"/>
      <c r="R122" s="1167"/>
      <c r="S122" s="1163">
        <f t="shared" si="2"/>
        <v>0</v>
      </c>
      <c r="T122" s="1163"/>
    </row>
    <row r="123" spans="1:20" ht="9.75" customHeight="1">
      <c r="A123" s="1164">
        <f>IF('Bridge Quantities'!$CC$38&gt;0,'Bridge Quantities'!$CC$2,0)</f>
        <v>0</v>
      </c>
      <c r="B123" s="1165"/>
      <c r="C123" s="77">
        <f>IF('Bridge Quantities'!$CC$38&gt;0,'Bridge Quantities'!$CC$4,0)</f>
        <v>0</v>
      </c>
      <c r="D123" s="1166">
        <f>IF('Bridge Quantities'!$CC$38&gt;0,'Bridge Quantities'!$CC$3,0)</f>
        <v>0</v>
      </c>
      <c r="E123" s="1166"/>
      <c r="F123" s="1166"/>
      <c r="G123" s="1166"/>
      <c r="H123" s="106">
        <f>IF('Bridge Quantities'!$CC$38&gt;0,'Bridge Quantities'!$CC$38,0)</f>
        <v>0</v>
      </c>
      <c r="I123" s="1167"/>
      <c r="J123" s="1167"/>
      <c r="K123" s="1167"/>
      <c r="L123" s="1167"/>
      <c r="M123" s="1167"/>
      <c r="N123" s="1167"/>
      <c r="O123" s="1167"/>
      <c r="P123" s="1167"/>
      <c r="Q123" s="1167"/>
      <c r="R123" s="1167"/>
      <c r="S123" s="1163">
        <f t="shared" si="2"/>
        <v>0</v>
      </c>
      <c r="T123" s="1163"/>
    </row>
    <row r="124" spans="1:20" ht="9.75" customHeight="1">
      <c r="A124" s="1164">
        <f>IF('Bridge Quantities'!$CD$38&gt;0,'Bridge Quantities'!$CD$2,0)</f>
        <v>0</v>
      </c>
      <c r="B124" s="1165"/>
      <c r="C124" s="77">
        <f>IF('Bridge Quantities'!$CD$38&gt;0,'Bridge Quantities'!$CD$4,0)</f>
        <v>0</v>
      </c>
      <c r="D124" s="1166">
        <f>IF('Bridge Quantities'!$CD$38&gt;0,'Bridge Quantities'!$CD$3,0)</f>
        <v>0</v>
      </c>
      <c r="E124" s="1166"/>
      <c r="F124" s="1166"/>
      <c r="G124" s="1166"/>
      <c r="H124" s="106">
        <f>IF('Bridge Quantities'!$CD$38&gt;0,'Bridge Quantities'!$CD$38,0)</f>
        <v>0</v>
      </c>
      <c r="I124" s="1167"/>
      <c r="J124" s="1167"/>
      <c r="K124" s="1167"/>
      <c r="L124" s="1167"/>
      <c r="M124" s="1167"/>
      <c r="N124" s="1167"/>
      <c r="O124" s="1167"/>
      <c r="P124" s="1167"/>
      <c r="Q124" s="1167"/>
      <c r="R124" s="1167"/>
      <c r="S124" s="1163">
        <f t="shared" si="2"/>
        <v>0</v>
      </c>
      <c r="T124" s="1163"/>
    </row>
    <row r="125" spans="1:20" ht="9.75" customHeight="1">
      <c r="A125" s="1164">
        <f>IF('Bridge Quantities'!$CE$38&gt;0,'Bridge Quantities'!$CD$2,0)</f>
        <v>0</v>
      </c>
      <c r="B125" s="1165"/>
      <c r="C125" s="77">
        <f>IF('Bridge Quantities'!$CE$38&gt;0,'Bridge Quantities'!$CD$4,0)</f>
        <v>0</v>
      </c>
      <c r="D125" s="1166">
        <f>IF('Bridge Quantities'!$CE$38&gt;0,'Bridge Quantities'!$CD$3,0)</f>
        <v>0</v>
      </c>
      <c r="E125" s="1166"/>
      <c r="F125" s="1166"/>
      <c r="G125" s="1166"/>
      <c r="H125" s="106">
        <f>IF('Bridge Quantities'!$CE$38&gt;0,'Bridge Quantities'!$CE$38,0)</f>
        <v>0</v>
      </c>
      <c r="I125" s="1167"/>
      <c r="J125" s="1167"/>
      <c r="K125" s="1167"/>
      <c r="L125" s="1167"/>
      <c r="M125" s="1167"/>
      <c r="N125" s="1167"/>
      <c r="O125" s="1167"/>
      <c r="P125" s="1167"/>
      <c r="Q125" s="1167"/>
      <c r="R125" s="1167"/>
      <c r="S125" s="1163">
        <f t="shared" si="2"/>
        <v>0</v>
      </c>
      <c r="T125" s="1163"/>
    </row>
    <row r="126" spans="1:20" ht="9.75" customHeight="1">
      <c r="A126" s="1164">
        <f>IF('Bridge Quantities'!$CF$38&gt;0,'Bridge Quantities'!$CF$2,0)</f>
        <v>0</v>
      </c>
      <c r="B126" s="1165"/>
      <c r="C126" s="77">
        <f>IF('Bridge Quantities'!$CF$38&gt;0,'Bridge Quantities'!$CF$4,0)</f>
        <v>0</v>
      </c>
      <c r="D126" s="1166">
        <f>IF('Bridge Quantities'!$CF$38&gt;0,'Bridge Quantities'!$CF$3,0)</f>
        <v>0</v>
      </c>
      <c r="E126" s="1166"/>
      <c r="F126" s="1166"/>
      <c r="G126" s="1166"/>
      <c r="H126" s="106">
        <f>IF('Bridge Quantities'!$CF$38&gt;0,'Bridge Quantities'!$CF$38,0)</f>
        <v>0</v>
      </c>
      <c r="I126" s="1167"/>
      <c r="J126" s="1167"/>
      <c r="K126" s="1167"/>
      <c r="L126" s="1167"/>
      <c r="M126" s="1167"/>
      <c r="N126" s="1167"/>
      <c r="O126" s="1167"/>
      <c r="P126" s="1167"/>
      <c r="Q126" s="1167"/>
      <c r="R126" s="1167"/>
      <c r="S126" s="1163">
        <f t="shared" si="2"/>
        <v>0</v>
      </c>
      <c r="T126" s="1163"/>
    </row>
    <row r="127" spans="1:20" ht="9.75" customHeight="1">
      <c r="A127" s="1164">
        <f>IF('Bridge Quantities'!$CG$38&gt;0,'Bridge Quantities'!$CG$2,0)</f>
        <v>0</v>
      </c>
      <c r="B127" s="1165"/>
      <c r="C127" s="77">
        <f>IF('Bridge Quantities'!$CG$38&gt;0,'Bridge Quantities'!$CG$4,0)</f>
        <v>0</v>
      </c>
      <c r="D127" s="1166">
        <f>IF('Bridge Quantities'!$CG$38&gt;0,'Bridge Quantities'!$CG$3,0)</f>
        <v>0</v>
      </c>
      <c r="E127" s="1166"/>
      <c r="F127" s="1166"/>
      <c r="G127" s="1166"/>
      <c r="H127" s="106">
        <f>IF('Bridge Quantities'!$CG$38&gt;0,'Bridge Quantities'!$CG$38,0)</f>
        <v>0</v>
      </c>
      <c r="I127" s="1167"/>
      <c r="J127" s="1167"/>
      <c r="K127" s="1167"/>
      <c r="L127" s="1167"/>
      <c r="M127" s="1167"/>
      <c r="N127" s="1167"/>
      <c r="O127" s="1167"/>
      <c r="P127" s="1167"/>
      <c r="Q127" s="1167"/>
      <c r="R127" s="1167"/>
      <c r="S127" s="1163">
        <f t="shared" si="2"/>
        <v>0</v>
      </c>
      <c r="T127" s="1163"/>
    </row>
    <row r="128" spans="1:20" ht="9.75" customHeight="1">
      <c r="A128" s="1164">
        <f>IF('Bridge Quantities'!$CH$38&gt;0,'Bridge Quantities'!$CH$2,0)</f>
        <v>0</v>
      </c>
      <c r="B128" s="1165"/>
      <c r="C128" s="77">
        <f>IF('Bridge Quantities'!$CH$38&gt;0,'Bridge Quantities'!$CH$4,0)</f>
        <v>0</v>
      </c>
      <c r="D128" s="1166">
        <f>IF('Bridge Quantities'!$CH$38&gt;0,'Bridge Quantities'!$CH$3,0)</f>
        <v>0</v>
      </c>
      <c r="E128" s="1166"/>
      <c r="F128" s="1166"/>
      <c r="G128" s="1166"/>
      <c r="H128" s="106">
        <f>IF('Bridge Quantities'!$CH$38&gt;0,'Bridge Quantities'!$CH$38,0)</f>
        <v>0</v>
      </c>
      <c r="I128" s="1167"/>
      <c r="J128" s="1167"/>
      <c r="K128" s="1167"/>
      <c r="L128" s="1167"/>
      <c r="M128" s="1167"/>
      <c r="N128" s="1167"/>
      <c r="O128" s="1167"/>
      <c r="P128" s="1167"/>
      <c r="Q128" s="1167"/>
      <c r="R128" s="1167"/>
      <c r="S128" s="1163">
        <f t="shared" si="2"/>
        <v>0</v>
      </c>
      <c r="T128" s="1163"/>
    </row>
    <row r="129" spans="1:20" ht="9.75" customHeight="1">
      <c r="A129" s="1164">
        <f>IF('Bridge Quantities'!$CI$38&gt;0,'Bridge Quantities'!$CI$2,0)</f>
        <v>0</v>
      </c>
      <c r="B129" s="1165"/>
      <c r="C129" s="77">
        <f>IF('Bridge Quantities'!$CI$38&gt;0,'Bridge Quantities'!$CI$4,0)</f>
        <v>0</v>
      </c>
      <c r="D129" s="1166">
        <f>IF('Bridge Quantities'!$CI$38&gt;0,'Bridge Quantities'!$CI$3,0)</f>
        <v>0</v>
      </c>
      <c r="E129" s="1166"/>
      <c r="F129" s="1166"/>
      <c r="G129" s="1166"/>
      <c r="H129" s="106">
        <f>IF('Bridge Quantities'!$CI$38&gt;0,'Bridge Quantities'!$CI$38,0)</f>
        <v>0</v>
      </c>
      <c r="I129" s="1167"/>
      <c r="J129" s="1167"/>
      <c r="K129" s="1167"/>
      <c r="L129" s="1167"/>
      <c r="M129" s="1167"/>
      <c r="N129" s="1167"/>
      <c r="O129" s="1167"/>
      <c r="P129" s="1167"/>
      <c r="Q129" s="1167"/>
      <c r="R129" s="1167"/>
      <c r="S129" s="1163">
        <f t="shared" si="2"/>
        <v>0</v>
      </c>
      <c r="T129" s="1163"/>
    </row>
    <row r="130" spans="1:20" ht="9.75" customHeight="1">
      <c r="A130" s="1164">
        <f>IF('Bridge Quantities'!$CJ$38&gt;0,'Bridge Quantities'!$CJ$2,0)</f>
        <v>0</v>
      </c>
      <c r="B130" s="1165"/>
      <c r="C130" s="77">
        <f>IF('Bridge Quantities'!$CJ$38&gt;0,'Bridge Quantities'!$CJ$4,0)</f>
        <v>0</v>
      </c>
      <c r="D130" s="1166">
        <f>IF('Bridge Quantities'!$CJ$38&gt;0,'Bridge Quantities'!$CJ$3,0)</f>
        <v>0</v>
      </c>
      <c r="E130" s="1166"/>
      <c r="F130" s="1166"/>
      <c r="G130" s="1166"/>
      <c r="H130" s="106">
        <f>IF('Bridge Quantities'!$CJ$38&gt;0,'Bridge Quantities'!$CJ$38,0)</f>
        <v>0</v>
      </c>
      <c r="I130" s="1167"/>
      <c r="J130" s="1167"/>
      <c r="K130" s="1167"/>
      <c r="L130" s="1167"/>
      <c r="M130" s="1167"/>
      <c r="N130" s="1167"/>
      <c r="O130" s="1167"/>
      <c r="P130" s="1167"/>
      <c r="Q130" s="1167"/>
      <c r="R130" s="1167"/>
      <c r="S130" s="1163">
        <f t="shared" si="2"/>
        <v>0</v>
      </c>
      <c r="T130" s="1163"/>
    </row>
    <row r="131" spans="1:20" ht="9.75" customHeight="1">
      <c r="A131" s="1164">
        <f>IF('Bridge Quantities'!$CK$38&gt;0,'Bridge Quantities'!$CK$2,0)</f>
        <v>0</v>
      </c>
      <c r="B131" s="1165"/>
      <c r="C131" s="77">
        <f>IF('Bridge Quantities'!$CK$38&gt;0,'Bridge Quantities'!$CK$4,0)</f>
        <v>0</v>
      </c>
      <c r="D131" s="1166">
        <f>IF('Bridge Quantities'!$CK$38&gt;0,'Bridge Quantities'!$CK$3,0)</f>
        <v>0</v>
      </c>
      <c r="E131" s="1166"/>
      <c r="F131" s="1166"/>
      <c r="G131" s="1166"/>
      <c r="H131" s="106">
        <f>IF('Bridge Quantities'!$CK$38&gt;0,'Bridge Quantities'!$CK$38,0)</f>
        <v>0</v>
      </c>
      <c r="I131" s="1167"/>
      <c r="J131" s="1167"/>
      <c r="K131" s="1167"/>
      <c r="L131" s="1167"/>
      <c r="M131" s="1167"/>
      <c r="N131" s="1167"/>
      <c r="O131" s="1167"/>
      <c r="P131" s="1167"/>
      <c r="Q131" s="1167"/>
      <c r="R131" s="1167"/>
      <c r="S131" s="1163">
        <f t="shared" si="2"/>
        <v>0</v>
      </c>
      <c r="T131" s="1163"/>
    </row>
    <row r="132" spans="1:20" ht="9.75" customHeight="1">
      <c r="A132" s="1164">
        <f>IF('Bridge Quantities'!$CL$38&gt;0,'Bridge Quantities'!$CL$2,0)</f>
        <v>0</v>
      </c>
      <c r="B132" s="1165"/>
      <c r="C132" s="77">
        <f>IF('Bridge Quantities'!$CL$38&gt;0,'Bridge Quantities'!$CL$4,0)</f>
        <v>0</v>
      </c>
      <c r="D132" s="1166">
        <f>IF('Bridge Quantities'!$CL$38&gt;0,'Bridge Quantities'!$CL$3,0)</f>
        <v>0</v>
      </c>
      <c r="E132" s="1166"/>
      <c r="F132" s="1166"/>
      <c r="G132" s="1166"/>
      <c r="H132" s="106">
        <f>IF('Bridge Quantities'!$CL$38&gt;0,'Bridge Quantities'!$CL$38,0)</f>
        <v>0</v>
      </c>
      <c r="I132" s="1167"/>
      <c r="J132" s="1167"/>
      <c r="K132" s="1167"/>
      <c r="L132" s="1167"/>
      <c r="M132" s="1167"/>
      <c r="N132" s="1167"/>
      <c r="O132" s="1167"/>
      <c r="P132" s="1167"/>
      <c r="Q132" s="1167"/>
      <c r="R132" s="1167"/>
      <c r="S132" s="1163">
        <f t="shared" si="2"/>
        <v>0</v>
      </c>
      <c r="T132" s="1163"/>
    </row>
    <row r="133" spans="1:20" ht="9.75" customHeight="1">
      <c r="A133" s="1164">
        <f>IF('Bridge Quantities'!$CM$38&gt;0,'Bridge Quantities'!$CM$2,0)</f>
        <v>0</v>
      </c>
      <c r="B133" s="1165"/>
      <c r="C133" s="77">
        <f>IF('Bridge Quantities'!$CM$38&gt;0,'Bridge Quantities'!$CM$4,0)</f>
        <v>0</v>
      </c>
      <c r="D133" s="1166">
        <f>IF('Bridge Quantities'!$CM$38&gt;0,'Bridge Quantities'!$CM$3,0)</f>
        <v>0</v>
      </c>
      <c r="E133" s="1166"/>
      <c r="F133" s="1166"/>
      <c r="G133" s="1166"/>
      <c r="H133" s="106">
        <f>IF('Bridge Quantities'!$CM$38&gt;0,'Bridge Quantities'!$CM$38,0)</f>
        <v>0</v>
      </c>
      <c r="I133" s="1167"/>
      <c r="J133" s="1167"/>
      <c r="K133" s="1167"/>
      <c r="L133" s="1167"/>
      <c r="M133" s="1167"/>
      <c r="N133" s="1167"/>
      <c r="O133" s="1167"/>
      <c r="P133" s="1167"/>
      <c r="Q133" s="1167"/>
      <c r="R133" s="1167"/>
      <c r="S133" s="1163">
        <f t="shared" si="2"/>
        <v>0</v>
      </c>
      <c r="T133" s="1163"/>
    </row>
    <row r="134" spans="1:20" ht="9.75" customHeight="1">
      <c r="A134" s="1164">
        <f>IF('TC 66-100 (Culvert Est.)'!O82&gt;0,Input!O108,0)</f>
        <v>0</v>
      </c>
      <c r="B134" s="1165"/>
      <c r="C134" s="77">
        <f>IF('TC 66-100 (Culvert Est.)'!O82&gt;0,'TC 66-100 (Culvert Est.)'!O76,0)</f>
        <v>0</v>
      </c>
      <c r="D134" s="1166">
        <f>IF('TC 66-100 (Culvert Est.)'!O82&gt;0,'TC 66-100 (Culvert Est.)'!O75,0)</f>
        <v>0</v>
      </c>
      <c r="E134" s="1166"/>
      <c r="F134" s="1166"/>
      <c r="G134" s="1166"/>
      <c r="H134" s="496"/>
      <c r="I134" s="1162">
        <f>'TC 66-100 (Culvert Est.)'!O77</f>
        <v>0</v>
      </c>
      <c r="J134" s="1162"/>
      <c r="K134" s="1162">
        <f>'TC 66-100 (Culvert Est.)'!O78</f>
        <v>0</v>
      </c>
      <c r="L134" s="1162"/>
      <c r="M134" s="1162">
        <f>'TC 66-100 (Culvert Est.)'!O79</f>
        <v>0</v>
      </c>
      <c r="N134" s="1162"/>
      <c r="O134" s="1162">
        <f>'TC 66-100 (Culvert Est.)'!O80</f>
        <v>0</v>
      </c>
      <c r="P134" s="1162"/>
      <c r="Q134" s="1162">
        <f>'TC 66-100 (Culvert Est.)'!O81</f>
        <v>0</v>
      </c>
      <c r="R134" s="1162"/>
      <c r="S134" s="1163">
        <f aca="true" t="shared" si="3" ref="S134:S139">SUM(H134:R134)</f>
        <v>0</v>
      </c>
      <c r="T134" s="1163"/>
    </row>
    <row r="135" spans="1:20" ht="9.75" customHeight="1">
      <c r="A135" s="1164">
        <f>IF('TC 66-100 (Culvert Est.)'!P82&gt;2,'TC 66-100 (Culvert Est.)'!P74,0)</f>
        <v>0</v>
      </c>
      <c r="B135" s="1165"/>
      <c r="C135" s="77">
        <f>IF('TC 66-100 (Culvert Est.)'!P82&gt;0,'TC 66-100 (Culvert Est.)'!P76,0)</f>
        <v>0</v>
      </c>
      <c r="D135" s="1166">
        <f>IF('TC 66-100 (Culvert Est.)'!P82&gt;0,'TC 66-100 (Culvert Est.)'!P75,0)</f>
        <v>0</v>
      </c>
      <c r="E135" s="1166"/>
      <c r="F135" s="1166"/>
      <c r="G135" s="1166"/>
      <c r="H135" s="496"/>
      <c r="I135" s="1162">
        <f>'TC 66-100 (Culvert Est.)'!P77</f>
        <v>0</v>
      </c>
      <c r="J135" s="1162"/>
      <c r="K135" s="1162">
        <f>'TC 66-100 (Culvert Est.)'!P78</f>
        <v>0</v>
      </c>
      <c r="L135" s="1162"/>
      <c r="M135" s="1162">
        <f>'TC 66-100 (Culvert Est.)'!O79</f>
        <v>0</v>
      </c>
      <c r="N135" s="1162"/>
      <c r="O135" s="1162">
        <f>'TC 66-100 (Culvert Est.)'!P80</f>
        <v>0</v>
      </c>
      <c r="P135" s="1162"/>
      <c r="Q135" s="1162">
        <f>'TC 66-100 (Culvert Est.)'!P81</f>
        <v>0</v>
      </c>
      <c r="R135" s="1162"/>
      <c r="S135" s="1163">
        <f t="shared" si="3"/>
        <v>0</v>
      </c>
      <c r="T135" s="1163"/>
    </row>
    <row r="136" spans="1:20" ht="9.75" customHeight="1">
      <c r="A136" s="1164">
        <f>IF('TC 66-100 (Culvert Est.)'!Q82&gt;0,'TC 66-100 (Culvert Est.)'!Q74,0)</f>
        <v>0</v>
      </c>
      <c r="B136" s="1165"/>
      <c r="C136" s="77">
        <f>IF('TC 66-100 (Culvert Est.)'!Q82&gt;0,'TC 66-100 (Culvert Est.)'!Q76,0)</f>
        <v>0</v>
      </c>
      <c r="D136" s="1166">
        <f>IF('TC 66-100 (Culvert Est.)'!Q82&gt;0,'TC 66-100 (Culvert Est.)'!Q75,0)</f>
        <v>0</v>
      </c>
      <c r="E136" s="1166"/>
      <c r="F136" s="1166"/>
      <c r="G136" s="1166"/>
      <c r="H136" s="496"/>
      <c r="I136" s="1162">
        <f>'TC 66-100 (Culvert Est.)'!Q77</f>
        <v>0</v>
      </c>
      <c r="J136" s="1162"/>
      <c r="K136" s="1162">
        <f>'TC 66-100 (Culvert Est.)'!Q78</f>
        <v>0</v>
      </c>
      <c r="L136" s="1162"/>
      <c r="M136" s="1162">
        <f>'TC 66-100 (Culvert Est.)'!P79</f>
        <v>0</v>
      </c>
      <c r="N136" s="1162"/>
      <c r="O136" s="1162">
        <f>'TC 66-100 (Culvert Est.)'!Q80</f>
        <v>0</v>
      </c>
      <c r="P136" s="1162"/>
      <c r="Q136" s="1162">
        <f>'TC 66-100 (Culvert Est.)'!Q81</f>
        <v>0</v>
      </c>
      <c r="R136" s="1162"/>
      <c r="S136" s="1163">
        <f t="shared" si="3"/>
        <v>0</v>
      </c>
      <c r="T136" s="1163"/>
    </row>
    <row r="137" spans="1:20" ht="9.75" customHeight="1">
      <c r="A137" s="1164">
        <f>IF('TC 66-100 (Culvert Est.)'!R82&gt;0,'TC 66-100 (Culvert Est.)'!R74,0)</f>
        <v>0</v>
      </c>
      <c r="B137" s="1165"/>
      <c r="C137" s="77">
        <f>IF('TC 66-100 (Culvert Est.)'!R82&gt;0,'TC 66-100 (Culvert Est.)'!R76,0)</f>
        <v>0</v>
      </c>
      <c r="D137" s="1166">
        <f>IF('TC 66-100 (Culvert Est.)'!R82&gt;0,'TC 66-100 (Culvert Est.)'!R75,0)</f>
        <v>0</v>
      </c>
      <c r="E137" s="1166"/>
      <c r="F137" s="1166"/>
      <c r="G137" s="1166"/>
      <c r="H137" s="496"/>
      <c r="I137" s="1162">
        <f>'TC 66-100 (Culvert Est.)'!R77</f>
        <v>0</v>
      </c>
      <c r="J137" s="1162"/>
      <c r="K137" s="1162">
        <f>'TC 66-100 (Culvert Est.)'!R78</f>
        <v>0</v>
      </c>
      <c r="L137" s="1162"/>
      <c r="M137" s="1162">
        <f>'TC 66-100 (Culvert Est.)'!R79</f>
        <v>0</v>
      </c>
      <c r="N137" s="1162"/>
      <c r="O137" s="1162">
        <f>'TC 66-100 (Culvert Est.)'!R80</f>
        <v>0</v>
      </c>
      <c r="P137" s="1162"/>
      <c r="Q137" s="1162">
        <f>'TC 66-100 (Culvert Est.)'!R81</f>
        <v>0</v>
      </c>
      <c r="R137" s="1162"/>
      <c r="S137" s="1163">
        <f t="shared" si="3"/>
        <v>0</v>
      </c>
      <c r="T137" s="1163"/>
    </row>
    <row r="138" spans="1:20" ht="9.75" customHeight="1">
      <c r="A138" s="1164">
        <f>IF('TC 66-100 (Culvert Est.)'!S82&gt;0,'TC 66-100 (Culvert Est.)'!S74,0)</f>
        <v>0</v>
      </c>
      <c r="B138" s="1165"/>
      <c r="C138" s="77">
        <f>IF('TC 66-100 (Culvert Est.)'!S82&gt;0,'TC 66-100 (Culvert Est.)'!S76,0)</f>
        <v>0</v>
      </c>
      <c r="D138" s="1166">
        <f>IF('TC 66-100 (Culvert Est.)'!S82&gt;0,'TC 66-100 (Culvert Est.)'!S75,0)</f>
        <v>0</v>
      </c>
      <c r="E138" s="1166"/>
      <c r="F138" s="1166"/>
      <c r="G138" s="1166"/>
      <c r="H138" s="496"/>
      <c r="I138" s="1162">
        <f>'TC 66-100 (Culvert Est.)'!S77</f>
        <v>0</v>
      </c>
      <c r="J138" s="1162"/>
      <c r="K138" s="1162">
        <f>'TC 66-100 (Culvert Est.)'!S78</f>
        <v>0</v>
      </c>
      <c r="L138" s="1162"/>
      <c r="M138" s="1162">
        <f>'TC 66-100 (Culvert Est.)'!S79</f>
        <v>0</v>
      </c>
      <c r="N138" s="1162"/>
      <c r="O138" s="1162">
        <f>'TC 66-100 (Culvert Est.)'!S80</f>
        <v>0</v>
      </c>
      <c r="P138" s="1162"/>
      <c r="Q138" s="1162">
        <f>'TC 66-100 (Culvert Est.)'!S81</f>
        <v>0</v>
      </c>
      <c r="R138" s="1162"/>
      <c r="S138" s="1163">
        <f t="shared" si="3"/>
        <v>0</v>
      </c>
      <c r="T138" s="1163"/>
    </row>
    <row r="139" spans="1:20" ht="9.75" customHeight="1">
      <c r="A139" s="1164">
        <f>IF('TC 66-100 (Culvert Est.)'!T82&gt;0,'TC 66-100 (Culvert Est.)'!T74,0)</f>
        <v>0</v>
      </c>
      <c r="B139" s="1165"/>
      <c r="C139" s="77">
        <f>IF('TC 66-100 (Culvert Est.)'!T82&gt;0,'TC 66-100 (Culvert Est.)'!T76,0)</f>
        <v>0</v>
      </c>
      <c r="D139" s="1166">
        <f>IF('TC 66-100 (Culvert Est.)'!T82&gt;0,'TC 66-100 (Culvert Est.)'!T75,0)</f>
        <v>0</v>
      </c>
      <c r="E139" s="1166"/>
      <c r="F139" s="1166"/>
      <c r="G139" s="1166"/>
      <c r="H139" s="496"/>
      <c r="I139" s="1162">
        <f>'TC 66-100 (Culvert Est.)'!T77</f>
        <v>0</v>
      </c>
      <c r="J139" s="1162"/>
      <c r="K139" s="1162">
        <f>'TC 66-100 (Culvert Est.)'!T78</f>
        <v>0</v>
      </c>
      <c r="L139" s="1162"/>
      <c r="M139" s="1162">
        <f>'TC 66-100 (Culvert Est.)'!T79</f>
        <v>0</v>
      </c>
      <c r="N139" s="1162"/>
      <c r="O139" s="1162">
        <f>'TC 66-100 (Culvert Est.)'!T80</f>
        <v>0</v>
      </c>
      <c r="P139" s="1162"/>
      <c r="Q139" s="1162">
        <f>'TC 66-100 (Culvert Est.)'!T81</f>
        <v>0</v>
      </c>
      <c r="R139" s="1162"/>
      <c r="S139" s="1163">
        <f t="shared" si="3"/>
        <v>0</v>
      </c>
      <c r="T139" s="1163"/>
    </row>
  </sheetData>
  <sheetProtection password="CBEB" sheet="1" objects="1" scenarios="1"/>
  <mergeCells count="996">
    <mergeCell ref="O19:P19"/>
    <mergeCell ref="Q19:R19"/>
    <mergeCell ref="O18:P18"/>
    <mergeCell ref="D43:G43"/>
    <mergeCell ref="D35:G35"/>
    <mergeCell ref="D36:G36"/>
    <mergeCell ref="D37:G37"/>
    <mergeCell ref="D42:G42"/>
    <mergeCell ref="D41:G41"/>
    <mergeCell ref="A32:F32"/>
    <mergeCell ref="Q16:R16"/>
    <mergeCell ref="Q18:R18"/>
    <mergeCell ref="M17:N17"/>
    <mergeCell ref="M16:N16"/>
    <mergeCell ref="O16:P16"/>
    <mergeCell ref="O17:P17"/>
    <mergeCell ref="M18:N18"/>
    <mergeCell ref="Q17:R17"/>
    <mergeCell ref="D132:G132"/>
    <mergeCell ref="D122:G122"/>
    <mergeCell ref="A45:B45"/>
    <mergeCell ref="I19:J19"/>
    <mergeCell ref="A37:B37"/>
    <mergeCell ref="A38:B38"/>
    <mergeCell ref="A39:B39"/>
    <mergeCell ref="A40:B40"/>
    <mergeCell ref="A132:B132"/>
    <mergeCell ref="A122:B122"/>
    <mergeCell ref="A123:B123"/>
    <mergeCell ref="A124:B124"/>
    <mergeCell ref="A125:B125"/>
    <mergeCell ref="D119:G119"/>
    <mergeCell ref="D120:G120"/>
    <mergeCell ref="D121:G121"/>
    <mergeCell ref="A121:B121"/>
    <mergeCell ref="A119:B119"/>
    <mergeCell ref="D123:G123"/>
    <mergeCell ref="D124:G124"/>
    <mergeCell ref="S132:T132"/>
    <mergeCell ref="S133:T133"/>
    <mergeCell ref="S128:T128"/>
    <mergeCell ref="S129:T129"/>
    <mergeCell ref="S130:T130"/>
    <mergeCell ref="S131:T131"/>
    <mergeCell ref="S124:T124"/>
    <mergeCell ref="S93:T93"/>
    <mergeCell ref="S94:T94"/>
    <mergeCell ref="S95:T95"/>
    <mergeCell ref="A44:B44"/>
    <mergeCell ref="S97:T97"/>
    <mergeCell ref="S98:T98"/>
    <mergeCell ref="S96:T96"/>
    <mergeCell ref="D118:G118"/>
    <mergeCell ref="A120:B120"/>
    <mergeCell ref="S117:T117"/>
    <mergeCell ref="S118:T118"/>
    <mergeCell ref="S107:T107"/>
    <mergeCell ref="S108:T108"/>
    <mergeCell ref="S119:T119"/>
    <mergeCell ref="S120:T120"/>
    <mergeCell ref="S113:T113"/>
    <mergeCell ref="S114:T114"/>
    <mergeCell ref="S115:T115"/>
    <mergeCell ref="S116:T116"/>
    <mergeCell ref="I17:J17"/>
    <mergeCell ref="Q101:R101"/>
    <mergeCell ref="Q105:R105"/>
    <mergeCell ref="S125:T125"/>
    <mergeCell ref="S126:T126"/>
    <mergeCell ref="S127:T127"/>
    <mergeCell ref="S121:T121"/>
    <mergeCell ref="S79:T79"/>
    <mergeCell ref="S122:T122"/>
    <mergeCell ref="S123:T123"/>
    <mergeCell ref="S101:T101"/>
    <mergeCell ref="S102:T102"/>
    <mergeCell ref="S103:T103"/>
    <mergeCell ref="S104:T104"/>
    <mergeCell ref="K105:L105"/>
    <mergeCell ref="M105:N105"/>
    <mergeCell ref="O105:P105"/>
    <mergeCell ref="K103:L103"/>
    <mergeCell ref="M103:N103"/>
    <mergeCell ref="O103:P103"/>
    <mergeCell ref="S112:T112"/>
    <mergeCell ref="S105:T105"/>
    <mergeCell ref="S106:T106"/>
    <mergeCell ref="A114:B114"/>
    <mergeCell ref="A115:B115"/>
    <mergeCell ref="A116:B116"/>
    <mergeCell ref="D114:G114"/>
    <mergeCell ref="I108:J108"/>
    <mergeCell ref="I109:J109"/>
    <mergeCell ref="I110:J110"/>
    <mergeCell ref="D125:G125"/>
    <mergeCell ref="A131:B131"/>
    <mergeCell ref="D131:G131"/>
    <mergeCell ref="S99:T99"/>
    <mergeCell ref="S100:T100"/>
    <mergeCell ref="S109:T109"/>
    <mergeCell ref="S110:T110"/>
    <mergeCell ref="S111:T111"/>
    <mergeCell ref="A129:B129"/>
    <mergeCell ref="D126:G126"/>
    <mergeCell ref="D127:G127"/>
    <mergeCell ref="D128:G128"/>
    <mergeCell ref="D129:G129"/>
    <mergeCell ref="A107:B107"/>
    <mergeCell ref="A113:B113"/>
    <mergeCell ref="D110:G110"/>
    <mergeCell ref="A108:B108"/>
    <mergeCell ref="A109:B109"/>
    <mergeCell ref="A126:B126"/>
    <mergeCell ref="A127:B127"/>
    <mergeCell ref="A128:B128"/>
    <mergeCell ref="D109:G109"/>
    <mergeCell ref="A104:B104"/>
    <mergeCell ref="A105:B105"/>
    <mergeCell ref="A106:B106"/>
    <mergeCell ref="D104:G104"/>
    <mergeCell ref="D105:G105"/>
    <mergeCell ref="D106:G106"/>
    <mergeCell ref="D112:G112"/>
    <mergeCell ref="D113:G113"/>
    <mergeCell ref="D97:G97"/>
    <mergeCell ref="D98:G98"/>
    <mergeCell ref="A118:B118"/>
    <mergeCell ref="A111:B111"/>
    <mergeCell ref="A112:B112"/>
    <mergeCell ref="A110:B110"/>
    <mergeCell ref="A117:B117"/>
    <mergeCell ref="D107:G107"/>
    <mergeCell ref="D108:G108"/>
    <mergeCell ref="D111:G111"/>
    <mergeCell ref="D96:G96"/>
    <mergeCell ref="D130:G130"/>
    <mergeCell ref="A130:B130"/>
    <mergeCell ref="D83:G83"/>
    <mergeCell ref="D87:G87"/>
    <mergeCell ref="D115:G115"/>
    <mergeCell ref="D116:G116"/>
    <mergeCell ref="D117:G117"/>
    <mergeCell ref="D102:G102"/>
    <mergeCell ref="D103:G103"/>
    <mergeCell ref="D101:G101"/>
    <mergeCell ref="A93:B93"/>
    <mergeCell ref="A94:B94"/>
    <mergeCell ref="A95:B95"/>
    <mergeCell ref="A96:B96"/>
    <mergeCell ref="D93:G93"/>
    <mergeCell ref="D94:G94"/>
    <mergeCell ref="A97:B97"/>
    <mergeCell ref="A98:B98"/>
    <mergeCell ref="D95:G95"/>
    <mergeCell ref="Q57:R57"/>
    <mergeCell ref="A58:T58"/>
    <mergeCell ref="A59:T62"/>
    <mergeCell ref="A102:B102"/>
    <mergeCell ref="A103:B103"/>
    <mergeCell ref="A99:B99"/>
    <mergeCell ref="A100:B100"/>
    <mergeCell ref="D99:G99"/>
    <mergeCell ref="A101:B101"/>
    <mergeCell ref="D100:G100"/>
    <mergeCell ref="O56:P56"/>
    <mergeCell ref="Q56:R56"/>
    <mergeCell ref="S56:T56"/>
    <mergeCell ref="K55:L55"/>
    <mergeCell ref="S64:T64"/>
    <mergeCell ref="A69:B69"/>
    <mergeCell ref="S57:T57"/>
    <mergeCell ref="K57:L57"/>
    <mergeCell ref="M57:N57"/>
    <mergeCell ref="O57:P57"/>
    <mergeCell ref="K56:L56"/>
    <mergeCell ref="M56:N56"/>
    <mergeCell ref="A83:B83"/>
    <mergeCell ref="A84:B84"/>
    <mergeCell ref="A70:B70"/>
    <mergeCell ref="A72:B72"/>
    <mergeCell ref="A73:B73"/>
    <mergeCell ref="A76:B76"/>
    <mergeCell ref="A80:B80"/>
    <mergeCell ref="D57:G57"/>
    <mergeCell ref="S52:T52"/>
    <mergeCell ref="M55:N55"/>
    <mergeCell ref="O55:P55"/>
    <mergeCell ref="S54:T54"/>
    <mergeCell ref="M53:N53"/>
    <mergeCell ref="K54:L54"/>
    <mergeCell ref="Q53:R53"/>
    <mergeCell ref="Q55:R55"/>
    <mergeCell ref="O53:P53"/>
    <mergeCell ref="S55:T55"/>
    <mergeCell ref="I57:J57"/>
    <mergeCell ref="I53:J53"/>
    <mergeCell ref="I54:J54"/>
    <mergeCell ref="A52:B52"/>
    <mergeCell ref="S53:T53"/>
    <mergeCell ref="K53:L53"/>
    <mergeCell ref="M54:N54"/>
    <mergeCell ref="O54:P54"/>
    <mergeCell ref="Q54:R54"/>
    <mergeCell ref="D54:G54"/>
    <mergeCell ref="A55:B55"/>
    <mergeCell ref="I56:J56"/>
    <mergeCell ref="A53:B53"/>
    <mergeCell ref="A56:B56"/>
    <mergeCell ref="I55:J55"/>
    <mergeCell ref="A54:B54"/>
    <mergeCell ref="D55:G55"/>
    <mergeCell ref="D53:G53"/>
    <mergeCell ref="D56:G56"/>
    <mergeCell ref="A57:B57"/>
    <mergeCell ref="A47:B47"/>
    <mergeCell ref="A49:B49"/>
    <mergeCell ref="I49:J49"/>
    <mergeCell ref="A41:B41"/>
    <mergeCell ref="I51:J51"/>
    <mergeCell ref="I45:J45"/>
    <mergeCell ref="D44:G44"/>
    <mergeCell ref="D45:G45"/>
    <mergeCell ref="D50:G50"/>
    <mergeCell ref="A51:B51"/>
    <mergeCell ref="I43:J43"/>
    <mergeCell ref="I44:J44"/>
    <mergeCell ref="I50:J50"/>
    <mergeCell ref="I47:J47"/>
    <mergeCell ref="I48:J48"/>
    <mergeCell ref="I46:J46"/>
    <mergeCell ref="A46:B46"/>
    <mergeCell ref="A48:B48"/>
    <mergeCell ref="A50:B50"/>
    <mergeCell ref="I52:J52"/>
    <mergeCell ref="D46:G46"/>
    <mergeCell ref="D47:G47"/>
    <mergeCell ref="D48:G48"/>
    <mergeCell ref="D49:G49"/>
    <mergeCell ref="I40:J40"/>
    <mergeCell ref="D51:G51"/>
    <mergeCell ref="D52:G52"/>
    <mergeCell ref="A43:B43"/>
    <mergeCell ref="S50:T50"/>
    <mergeCell ref="S47:T47"/>
    <mergeCell ref="S48:T48"/>
    <mergeCell ref="S49:T49"/>
    <mergeCell ref="Q45:R45"/>
    <mergeCell ref="Q46:R46"/>
    <mergeCell ref="Q50:R50"/>
    <mergeCell ref="Q47:R47"/>
    <mergeCell ref="S43:T43"/>
    <mergeCell ref="S51:T51"/>
    <mergeCell ref="O38:P38"/>
    <mergeCell ref="O39:P39"/>
    <mergeCell ref="S46:T46"/>
    <mergeCell ref="S42:T42"/>
    <mergeCell ref="S45:T45"/>
    <mergeCell ref="S44:T44"/>
    <mergeCell ref="Q51:R51"/>
    <mergeCell ref="Q38:R38"/>
    <mergeCell ref="Q39:R39"/>
    <mergeCell ref="Q36:R36"/>
    <mergeCell ref="Q37:R37"/>
    <mergeCell ref="S39:T39"/>
    <mergeCell ref="M38:N38"/>
    <mergeCell ref="M39:N39"/>
    <mergeCell ref="I42:J42"/>
    <mergeCell ref="O40:P40"/>
    <mergeCell ref="S38:T38"/>
    <mergeCell ref="S41:T41"/>
    <mergeCell ref="Q40:R40"/>
    <mergeCell ref="Q42:R42"/>
    <mergeCell ref="Q43:R43"/>
    <mergeCell ref="Q44:R44"/>
    <mergeCell ref="Q41:R41"/>
    <mergeCell ref="S40:T40"/>
    <mergeCell ref="Q48:R48"/>
    <mergeCell ref="O51:P51"/>
    <mergeCell ref="O50:P50"/>
    <mergeCell ref="O48:P48"/>
    <mergeCell ref="O49:P49"/>
    <mergeCell ref="Q49:R49"/>
    <mergeCell ref="K52:L52"/>
    <mergeCell ref="M52:N52"/>
    <mergeCell ref="O52:P52"/>
    <mergeCell ref="Q52:R52"/>
    <mergeCell ref="O42:P42"/>
    <mergeCell ref="O43:P43"/>
    <mergeCell ref="O44:P44"/>
    <mergeCell ref="K50:L50"/>
    <mergeCell ref="K51:L51"/>
    <mergeCell ref="K46:L46"/>
    <mergeCell ref="K47:L47"/>
    <mergeCell ref="M51:N51"/>
    <mergeCell ref="M45:N45"/>
    <mergeCell ref="M46:N46"/>
    <mergeCell ref="S30:T30"/>
    <mergeCell ref="S33:T33"/>
    <mergeCell ref="S34:T34"/>
    <mergeCell ref="S35:T35"/>
    <mergeCell ref="S36:T36"/>
    <mergeCell ref="S37:T37"/>
    <mergeCell ref="M47:N47"/>
    <mergeCell ref="M48:N48"/>
    <mergeCell ref="M49:N49"/>
    <mergeCell ref="K48:L48"/>
    <mergeCell ref="K49:L49"/>
    <mergeCell ref="M50:N50"/>
    <mergeCell ref="M42:N42"/>
    <mergeCell ref="M43:N43"/>
    <mergeCell ref="M44:N44"/>
    <mergeCell ref="O36:P36"/>
    <mergeCell ref="O37:P37"/>
    <mergeCell ref="K44:L44"/>
    <mergeCell ref="K41:L41"/>
    <mergeCell ref="K43:L43"/>
    <mergeCell ref="M40:N40"/>
    <mergeCell ref="M41:N41"/>
    <mergeCell ref="K40:L40"/>
    <mergeCell ref="M36:N36"/>
    <mergeCell ref="K42:L42"/>
    <mergeCell ref="O46:P46"/>
    <mergeCell ref="O47:P47"/>
    <mergeCell ref="O41:P41"/>
    <mergeCell ref="O45:P45"/>
    <mergeCell ref="K38:L38"/>
    <mergeCell ref="K45:L45"/>
    <mergeCell ref="K39:L39"/>
    <mergeCell ref="M37:N37"/>
    <mergeCell ref="M34:N34"/>
    <mergeCell ref="M35:N35"/>
    <mergeCell ref="K34:L34"/>
    <mergeCell ref="K35:L35"/>
    <mergeCell ref="I38:J38"/>
    <mergeCell ref="I34:J34"/>
    <mergeCell ref="I35:J35"/>
    <mergeCell ref="K36:L36"/>
    <mergeCell ref="K37:L37"/>
    <mergeCell ref="I36:J36"/>
    <mergeCell ref="I37:J37"/>
    <mergeCell ref="I41:J41"/>
    <mergeCell ref="I39:J39"/>
    <mergeCell ref="A42:B42"/>
    <mergeCell ref="D38:G38"/>
    <mergeCell ref="A36:B36"/>
    <mergeCell ref="D39:G39"/>
    <mergeCell ref="D40:G40"/>
    <mergeCell ref="O24:P24"/>
    <mergeCell ref="M29:N29"/>
    <mergeCell ref="D28:E28"/>
    <mergeCell ref="K27:L27"/>
    <mergeCell ref="K28:L28"/>
    <mergeCell ref="I27:J27"/>
    <mergeCell ref="I28:J28"/>
    <mergeCell ref="I25:J25"/>
    <mergeCell ref="I26:J26"/>
    <mergeCell ref="M25:N25"/>
    <mergeCell ref="D33:G33"/>
    <mergeCell ref="D34:G34"/>
    <mergeCell ref="A33:B33"/>
    <mergeCell ref="A34:B34"/>
    <mergeCell ref="A35:B35"/>
    <mergeCell ref="Q35:R35"/>
    <mergeCell ref="Q34:R34"/>
    <mergeCell ref="O34:P34"/>
    <mergeCell ref="O35:P35"/>
    <mergeCell ref="Q33:R33"/>
    <mergeCell ref="S29:T29"/>
    <mergeCell ref="Q29:R29"/>
    <mergeCell ref="K25:L25"/>
    <mergeCell ref="K26:L26"/>
    <mergeCell ref="I33:J33"/>
    <mergeCell ref="M26:N26"/>
    <mergeCell ref="M27:N27"/>
    <mergeCell ref="M28:N28"/>
    <mergeCell ref="Q30:R30"/>
    <mergeCell ref="O25:P25"/>
    <mergeCell ref="S24:T24"/>
    <mergeCell ref="S28:T28"/>
    <mergeCell ref="Q26:R26"/>
    <mergeCell ref="Q27:R27"/>
    <mergeCell ref="O33:P33"/>
    <mergeCell ref="S32:T32"/>
    <mergeCell ref="Q24:R24"/>
    <mergeCell ref="S26:T26"/>
    <mergeCell ref="S27:T27"/>
    <mergeCell ref="Q28:R28"/>
    <mergeCell ref="K22:L22"/>
    <mergeCell ref="K23:L23"/>
    <mergeCell ref="K24:L24"/>
    <mergeCell ref="M21:N21"/>
    <mergeCell ref="M22:N22"/>
    <mergeCell ref="K33:L33"/>
    <mergeCell ref="M33:N33"/>
    <mergeCell ref="B22:C22"/>
    <mergeCell ref="B23:C23"/>
    <mergeCell ref="G20:H20"/>
    <mergeCell ref="G21:H21"/>
    <mergeCell ref="G22:H22"/>
    <mergeCell ref="G23:H23"/>
    <mergeCell ref="D20:E20"/>
    <mergeCell ref="G16:H16"/>
    <mergeCell ref="G17:H17"/>
    <mergeCell ref="G18:H18"/>
    <mergeCell ref="G19:H19"/>
    <mergeCell ref="B20:C20"/>
    <mergeCell ref="B21:C21"/>
    <mergeCell ref="A19:F19"/>
    <mergeCell ref="G24:H24"/>
    <mergeCell ref="Q13:R13"/>
    <mergeCell ref="Q14:R14"/>
    <mergeCell ref="G14:H14"/>
    <mergeCell ref="I14:J14"/>
    <mergeCell ref="A14:B14"/>
    <mergeCell ref="G13:H13"/>
    <mergeCell ref="A17:F17"/>
    <mergeCell ref="A16:F16"/>
    <mergeCell ref="B24:C24"/>
    <mergeCell ref="D27:E27"/>
    <mergeCell ref="D21:E21"/>
    <mergeCell ref="D22:E22"/>
    <mergeCell ref="D23:E23"/>
    <mergeCell ref="D29:E29"/>
    <mergeCell ref="D24:E24"/>
    <mergeCell ref="B25:C25"/>
    <mergeCell ref="D30:E30"/>
    <mergeCell ref="F25:H25"/>
    <mergeCell ref="F30:H30"/>
    <mergeCell ref="F27:H27"/>
    <mergeCell ref="F28:H28"/>
    <mergeCell ref="F29:H29"/>
    <mergeCell ref="F26:H26"/>
    <mergeCell ref="D25:E25"/>
    <mergeCell ref="D26:E26"/>
    <mergeCell ref="Q20:R20"/>
    <mergeCell ref="S20:T20"/>
    <mergeCell ref="Q21:R21"/>
    <mergeCell ref="Q22:R22"/>
    <mergeCell ref="Q23:R23"/>
    <mergeCell ref="Q25:R25"/>
    <mergeCell ref="S21:T21"/>
    <mergeCell ref="S22:T22"/>
    <mergeCell ref="S23:T23"/>
    <mergeCell ref="S25:T25"/>
    <mergeCell ref="A10:B10"/>
    <mergeCell ref="A11:B11"/>
    <mergeCell ref="G10:H10"/>
    <mergeCell ref="G11:H11"/>
    <mergeCell ref="A13:B13"/>
    <mergeCell ref="A12:B12"/>
    <mergeCell ref="C12:D12"/>
    <mergeCell ref="C13:D13"/>
    <mergeCell ref="E11:F11"/>
    <mergeCell ref="G12:H12"/>
    <mergeCell ref="I10:J10"/>
    <mergeCell ref="H7:I7"/>
    <mergeCell ref="J7:K7"/>
    <mergeCell ref="C14:D14"/>
    <mergeCell ref="E10:F10"/>
    <mergeCell ref="E12:F12"/>
    <mergeCell ref="E13:F13"/>
    <mergeCell ref="C10:D10"/>
    <mergeCell ref="C11:D11"/>
    <mergeCell ref="E14:F14"/>
    <mergeCell ref="C4:G4"/>
    <mergeCell ref="A9:C9"/>
    <mergeCell ref="A4:B4"/>
    <mergeCell ref="A5:B5"/>
    <mergeCell ref="A7:C7"/>
    <mergeCell ref="D7:E7"/>
    <mergeCell ref="C5:G5"/>
    <mergeCell ref="F7:G7"/>
    <mergeCell ref="I13:J13"/>
    <mergeCell ref="O10:P10"/>
    <mergeCell ref="I11:J11"/>
    <mergeCell ref="K12:L12"/>
    <mergeCell ref="K13:L13"/>
    <mergeCell ref="O13:P13"/>
    <mergeCell ref="M11:N11"/>
    <mergeCell ref="M12:N12"/>
    <mergeCell ref="O11:P11"/>
    <mergeCell ref="O12:P12"/>
    <mergeCell ref="L4:O4"/>
    <mergeCell ref="K11:L11"/>
    <mergeCell ref="M10:N10"/>
    <mergeCell ref="K10:L10"/>
    <mergeCell ref="I4:K4"/>
    <mergeCell ref="I5:K5"/>
    <mergeCell ref="L5:O5"/>
    <mergeCell ref="L7:M7"/>
    <mergeCell ref="N7:O7"/>
    <mergeCell ref="O9:P9"/>
    <mergeCell ref="K18:L18"/>
    <mergeCell ref="I18:J18"/>
    <mergeCell ref="Q8:S8"/>
    <mergeCell ref="Q10:R10"/>
    <mergeCell ref="Q11:R11"/>
    <mergeCell ref="Q12:R12"/>
    <mergeCell ref="O14:P14"/>
    <mergeCell ref="K14:L14"/>
    <mergeCell ref="M13:N13"/>
    <mergeCell ref="I12:J12"/>
    <mergeCell ref="I24:J24"/>
    <mergeCell ref="M23:N23"/>
    <mergeCell ref="M24:N24"/>
    <mergeCell ref="K21:L21"/>
    <mergeCell ref="M14:N14"/>
    <mergeCell ref="I16:J16"/>
    <mergeCell ref="K16:L16"/>
    <mergeCell ref="K17:L17"/>
    <mergeCell ref="K19:L19"/>
    <mergeCell ref="M19:N19"/>
    <mergeCell ref="O21:P21"/>
    <mergeCell ref="O22:P22"/>
    <mergeCell ref="O23:P23"/>
    <mergeCell ref="O29:P29"/>
    <mergeCell ref="I20:J20"/>
    <mergeCell ref="K20:L20"/>
    <mergeCell ref="M20:N20"/>
    <mergeCell ref="I21:J21"/>
    <mergeCell ref="I22:J22"/>
    <mergeCell ref="I23:J23"/>
    <mergeCell ref="O20:P20"/>
    <mergeCell ref="K29:L29"/>
    <mergeCell ref="K30:L30"/>
    <mergeCell ref="I29:J29"/>
    <mergeCell ref="I30:J30"/>
    <mergeCell ref="M30:N30"/>
    <mergeCell ref="O26:P26"/>
    <mergeCell ref="O27:P27"/>
    <mergeCell ref="O28:P28"/>
    <mergeCell ref="O30:P30"/>
    <mergeCell ref="K99:L99"/>
    <mergeCell ref="M99:N99"/>
    <mergeCell ref="O99:P99"/>
    <mergeCell ref="Q99:R99"/>
    <mergeCell ref="K101:L101"/>
    <mergeCell ref="M102:N102"/>
    <mergeCell ref="O102:P102"/>
    <mergeCell ref="Q102:R102"/>
    <mergeCell ref="M101:N101"/>
    <mergeCell ref="O101:P101"/>
    <mergeCell ref="K100:L100"/>
    <mergeCell ref="K104:L104"/>
    <mergeCell ref="M104:N104"/>
    <mergeCell ref="O104:P104"/>
    <mergeCell ref="Q104:R104"/>
    <mergeCell ref="Q103:R103"/>
    <mergeCell ref="M100:N100"/>
    <mergeCell ref="O100:P100"/>
    <mergeCell ref="Q100:R100"/>
    <mergeCell ref="O96:P96"/>
    <mergeCell ref="Q96:R96"/>
    <mergeCell ref="I96:J96"/>
    <mergeCell ref="I97:J97"/>
    <mergeCell ref="I98:J98"/>
    <mergeCell ref="Q97:R97"/>
    <mergeCell ref="M98:N98"/>
    <mergeCell ref="O98:P98"/>
    <mergeCell ref="Q98:R98"/>
    <mergeCell ref="I99:J99"/>
    <mergeCell ref="M97:N97"/>
    <mergeCell ref="O97:P97"/>
    <mergeCell ref="M94:N94"/>
    <mergeCell ref="O94:P94"/>
    <mergeCell ref="Q94:R94"/>
    <mergeCell ref="M95:N95"/>
    <mergeCell ref="O95:P95"/>
    <mergeCell ref="Q95:R95"/>
    <mergeCell ref="M96:N96"/>
    <mergeCell ref="M93:N93"/>
    <mergeCell ref="O93:P93"/>
    <mergeCell ref="Q93:R93"/>
    <mergeCell ref="I131:J131"/>
    <mergeCell ref="I128:J128"/>
    <mergeCell ref="I129:J129"/>
    <mergeCell ref="I130:J130"/>
    <mergeCell ref="I123:J123"/>
    <mergeCell ref="I124:J124"/>
    <mergeCell ref="I125:J125"/>
    <mergeCell ref="I93:J93"/>
    <mergeCell ref="I94:J94"/>
    <mergeCell ref="I95:J95"/>
    <mergeCell ref="I104:J104"/>
    <mergeCell ref="I105:J105"/>
    <mergeCell ref="I122:J122"/>
    <mergeCell ref="I116:J116"/>
    <mergeCell ref="I117:J117"/>
    <mergeCell ref="I118:J118"/>
    <mergeCell ref="I115:J115"/>
    <mergeCell ref="I133:J133"/>
    <mergeCell ref="K92:L92"/>
    <mergeCell ref="K93:L93"/>
    <mergeCell ref="K94:L94"/>
    <mergeCell ref="K95:L95"/>
    <mergeCell ref="K96:L96"/>
    <mergeCell ref="K97:L97"/>
    <mergeCell ref="K98:L98"/>
    <mergeCell ref="I127:J127"/>
    <mergeCell ref="K102:L102"/>
    <mergeCell ref="I111:J111"/>
    <mergeCell ref="I132:J132"/>
    <mergeCell ref="I126:J126"/>
    <mergeCell ref="I120:J120"/>
    <mergeCell ref="I121:J121"/>
    <mergeCell ref="I119:J119"/>
    <mergeCell ref="I112:J112"/>
    <mergeCell ref="I113:J113"/>
    <mergeCell ref="I114:J114"/>
    <mergeCell ref="I106:J106"/>
    <mergeCell ref="I107:J107"/>
    <mergeCell ref="I100:J100"/>
    <mergeCell ref="I101:J101"/>
    <mergeCell ref="I102:J102"/>
    <mergeCell ref="I103:J103"/>
    <mergeCell ref="A64:F64"/>
    <mergeCell ref="A65:B65"/>
    <mergeCell ref="D65:G65"/>
    <mergeCell ref="I65:J65"/>
    <mergeCell ref="A67:B67"/>
    <mergeCell ref="D67:G67"/>
    <mergeCell ref="I67:J67"/>
    <mergeCell ref="Q67:R67"/>
    <mergeCell ref="A66:B66"/>
    <mergeCell ref="I66:J66"/>
    <mergeCell ref="K66:L66"/>
    <mergeCell ref="D66:G66"/>
    <mergeCell ref="M66:N66"/>
    <mergeCell ref="O66:P66"/>
    <mergeCell ref="Q66:R66"/>
    <mergeCell ref="S66:T66"/>
    <mergeCell ref="S67:T67"/>
    <mergeCell ref="K65:L65"/>
    <mergeCell ref="M65:N65"/>
    <mergeCell ref="O65:P65"/>
    <mergeCell ref="Q65:R65"/>
    <mergeCell ref="K67:L67"/>
    <mergeCell ref="S65:T65"/>
    <mergeCell ref="M67:N67"/>
    <mergeCell ref="O67:P67"/>
    <mergeCell ref="A68:B68"/>
    <mergeCell ref="D68:G68"/>
    <mergeCell ref="I68:J68"/>
    <mergeCell ref="K68:L68"/>
    <mergeCell ref="M68:N68"/>
    <mergeCell ref="O68:P68"/>
    <mergeCell ref="D69:G69"/>
    <mergeCell ref="I69:J69"/>
    <mergeCell ref="K69:L69"/>
    <mergeCell ref="M69:N69"/>
    <mergeCell ref="O69:P69"/>
    <mergeCell ref="Q69:R69"/>
    <mergeCell ref="D70:G70"/>
    <mergeCell ref="I70:J70"/>
    <mergeCell ref="K70:L70"/>
    <mergeCell ref="M70:N70"/>
    <mergeCell ref="O70:P70"/>
    <mergeCell ref="Q70:R70"/>
    <mergeCell ref="A71:B71"/>
    <mergeCell ref="D71:G71"/>
    <mergeCell ref="I71:J71"/>
    <mergeCell ref="K71:L71"/>
    <mergeCell ref="M71:N71"/>
    <mergeCell ref="O71:P71"/>
    <mergeCell ref="M73:N73"/>
    <mergeCell ref="O73:P73"/>
    <mergeCell ref="Q73:R73"/>
    <mergeCell ref="D72:G72"/>
    <mergeCell ref="I72:J72"/>
    <mergeCell ref="K72:L72"/>
    <mergeCell ref="M72:N72"/>
    <mergeCell ref="O72:P72"/>
    <mergeCell ref="Q72:R72"/>
    <mergeCell ref="A75:B75"/>
    <mergeCell ref="D75:G75"/>
    <mergeCell ref="I75:J75"/>
    <mergeCell ref="D73:G73"/>
    <mergeCell ref="I73:J73"/>
    <mergeCell ref="K73:L73"/>
    <mergeCell ref="A74:B74"/>
    <mergeCell ref="D74:G74"/>
    <mergeCell ref="I74:J74"/>
    <mergeCell ref="K74:L74"/>
    <mergeCell ref="M74:N74"/>
    <mergeCell ref="O74:P74"/>
    <mergeCell ref="K75:L75"/>
    <mergeCell ref="M75:N75"/>
    <mergeCell ref="O75:P75"/>
    <mergeCell ref="O77:P77"/>
    <mergeCell ref="Q77:R77"/>
    <mergeCell ref="Q75:R75"/>
    <mergeCell ref="M77:N77"/>
    <mergeCell ref="D76:G76"/>
    <mergeCell ref="I76:J76"/>
    <mergeCell ref="K76:L76"/>
    <mergeCell ref="M76:N76"/>
    <mergeCell ref="O76:P76"/>
    <mergeCell ref="Q76:R76"/>
    <mergeCell ref="D79:G79"/>
    <mergeCell ref="I79:J79"/>
    <mergeCell ref="A77:B77"/>
    <mergeCell ref="D77:G77"/>
    <mergeCell ref="I77:J77"/>
    <mergeCell ref="K77:L77"/>
    <mergeCell ref="Q80:R80"/>
    <mergeCell ref="S80:T80"/>
    <mergeCell ref="K79:L79"/>
    <mergeCell ref="A78:B78"/>
    <mergeCell ref="D78:G78"/>
    <mergeCell ref="I78:J78"/>
    <mergeCell ref="K78:L78"/>
    <mergeCell ref="M78:N78"/>
    <mergeCell ref="O78:P78"/>
    <mergeCell ref="A79:B79"/>
    <mergeCell ref="O81:P81"/>
    <mergeCell ref="D80:G80"/>
    <mergeCell ref="I80:J80"/>
    <mergeCell ref="K80:L80"/>
    <mergeCell ref="M80:N80"/>
    <mergeCell ref="O80:P80"/>
    <mergeCell ref="A85:B85"/>
    <mergeCell ref="I83:J83"/>
    <mergeCell ref="K83:L83"/>
    <mergeCell ref="Q82:R82"/>
    <mergeCell ref="S82:T82"/>
    <mergeCell ref="A81:B81"/>
    <mergeCell ref="D81:G81"/>
    <mergeCell ref="I81:J81"/>
    <mergeCell ref="K81:L81"/>
    <mergeCell ref="M81:N81"/>
    <mergeCell ref="S84:T84"/>
    <mergeCell ref="Q86:R86"/>
    <mergeCell ref="S89:T89"/>
    <mergeCell ref="O88:P88"/>
    <mergeCell ref="A82:B82"/>
    <mergeCell ref="D82:G82"/>
    <mergeCell ref="I82:J82"/>
    <mergeCell ref="K82:L82"/>
    <mergeCell ref="M82:N82"/>
    <mergeCell ref="O82:P82"/>
    <mergeCell ref="I85:J85"/>
    <mergeCell ref="K85:L85"/>
    <mergeCell ref="M85:N85"/>
    <mergeCell ref="S91:T91"/>
    <mergeCell ref="M83:N83"/>
    <mergeCell ref="O83:P83"/>
    <mergeCell ref="Q83:R83"/>
    <mergeCell ref="S83:T83"/>
    <mergeCell ref="O84:P84"/>
    <mergeCell ref="Q84:R84"/>
    <mergeCell ref="A86:B86"/>
    <mergeCell ref="D86:G86"/>
    <mergeCell ref="I86:J86"/>
    <mergeCell ref="K86:L86"/>
    <mergeCell ref="M86:N86"/>
    <mergeCell ref="D84:G84"/>
    <mergeCell ref="I84:J84"/>
    <mergeCell ref="K84:L84"/>
    <mergeCell ref="M84:N84"/>
    <mergeCell ref="D85:G85"/>
    <mergeCell ref="I92:J92"/>
    <mergeCell ref="A89:B89"/>
    <mergeCell ref="D89:G89"/>
    <mergeCell ref="I88:J88"/>
    <mergeCell ref="K88:L88"/>
    <mergeCell ref="M88:N88"/>
    <mergeCell ref="A88:B88"/>
    <mergeCell ref="M92:N92"/>
    <mergeCell ref="D88:G88"/>
    <mergeCell ref="O92:P92"/>
    <mergeCell ref="Q92:R92"/>
    <mergeCell ref="A91:B91"/>
    <mergeCell ref="O86:P86"/>
    <mergeCell ref="A92:B92"/>
    <mergeCell ref="D91:G91"/>
    <mergeCell ref="D92:G92"/>
    <mergeCell ref="D90:G90"/>
    <mergeCell ref="I87:J87"/>
    <mergeCell ref="K87:L87"/>
    <mergeCell ref="S92:T92"/>
    <mergeCell ref="M87:N87"/>
    <mergeCell ref="O87:P87"/>
    <mergeCell ref="Q87:R87"/>
    <mergeCell ref="S87:T87"/>
    <mergeCell ref="I90:J90"/>
    <mergeCell ref="K90:L90"/>
    <mergeCell ref="S88:T88"/>
    <mergeCell ref="M89:N89"/>
    <mergeCell ref="O89:P89"/>
    <mergeCell ref="Q89:R89"/>
    <mergeCell ref="I89:J89"/>
    <mergeCell ref="K89:L89"/>
    <mergeCell ref="A1:I1"/>
    <mergeCell ref="A2:I2"/>
    <mergeCell ref="I91:J91"/>
    <mergeCell ref="K91:L91"/>
    <mergeCell ref="M91:N91"/>
    <mergeCell ref="O91:P91"/>
    <mergeCell ref="M90:N90"/>
    <mergeCell ref="O90:P90"/>
    <mergeCell ref="A90:B90"/>
    <mergeCell ref="A87:B87"/>
    <mergeCell ref="Q4:S4"/>
    <mergeCell ref="Q5:S5"/>
    <mergeCell ref="Q74:R74"/>
    <mergeCell ref="S74:T74"/>
    <mergeCell ref="S72:T72"/>
    <mergeCell ref="S70:T70"/>
    <mergeCell ref="Q68:R68"/>
    <mergeCell ref="S78:T78"/>
    <mergeCell ref="S76:T76"/>
    <mergeCell ref="S68:T68"/>
    <mergeCell ref="S73:T73"/>
    <mergeCell ref="Q6:S6"/>
    <mergeCell ref="Q71:R71"/>
    <mergeCell ref="S71:T71"/>
    <mergeCell ref="S69:T69"/>
    <mergeCell ref="S77:T77"/>
    <mergeCell ref="S75:T75"/>
    <mergeCell ref="Q90:R90"/>
    <mergeCell ref="S90:T90"/>
    <mergeCell ref="S1:T1"/>
    <mergeCell ref="S86:T86"/>
    <mergeCell ref="O85:P85"/>
    <mergeCell ref="Q85:R85"/>
    <mergeCell ref="S85:T85"/>
    <mergeCell ref="Q81:R81"/>
    <mergeCell ref="S81:T81"/>
    <mergeCell ref="Q78:R78"/>
    <mergeCell ref="Q88:R88"/>
    <mergeCell ref="K107:L107"/>
    <mergeCell ref="M107:N107"/>
    <mergeCell ref="O107:P107"/>
    <mergeCell ref="Q107:R107"/>
    <mergeCell ref="K106:L106"/>
    <mergeCell ref="M106:N106"/>
    <mergeCell ref="O106:P106"/>
    <mergeCell ref="Q106:R106"/>
    <mergeCell ref="Q91:R91"/>
    <mergeCell ref="K108:L108"/>
    <mergeCell ref="M108:N108"/>
    <mergeCell ref="O108:P108"/>
    <mergeCell ref="Q108:R108"/>
    <mergeCell ref="K109:L109"/>
    <mergeCell ref="M109:N109"/>
    <mergeCell ref="O109:P109"/>
    <mergeCell ref="Q109:R109"/>
    <mergeCell ref="M110:N110"/>
    <mergeCell ref="O110:P110"/>
    <mergeCell ref="Q110:R110"/>
    <mergeCell ref="K111:L111"/>
    <mergeCell ref="M111:N111"/>
    <mergeCell ref="O111:P111"/>
    <mergeCell ref="Q111:R111"/>
    <mergeCell ref="K110:L110"/>
    <mergeCell ref="K112:L112"/>
    <mergeCell ref="M112:N112"/>
    <mergeCell ref="O112:P112"/>
    <mergeCell ref="Q112:R112"/>
    <mergeCell ref="Q117:R117"/>
    <mergeCell ref="M114:N114"/>
    <mergeCell ref="O114:P114"/>
    <mergeCell ref="Q114:R114"/>
    <mergeCell ref="K115:L115"/>
    <mergeCell ref="M115:N115"/>
    <mergeCell ref="M116:N116"/>
    <mergeCell ref="O116:P116"/>
    <mergeCell ref="Q116:R116"/>
    <mergeCell ref="K113:L113"/>
    <mergeCell ref="M113:N113"/>
    <mergeCell ref="O113:P113"/>
    <mergeCell ref="Q113:R113"/>
    <mergeCell ref="O121:P121"/>
    <mergeCell ref="Q121:R121"/>
    <mergeCell ref="K118:L118"/>
    <mergeCell ref="M118:N118"/>
    <mergeCell ref="O115:P115"/>
    <mergeCell ref="Q115:R115"/>
    <mergeCell ref="M119:N119"/>
    <mergeCell ref="O119:P119"/>
    <mergeCell ref="Q119:R119"/>
    <mergeCell ref="K116:L116"/>
    <mergeCell ref="O118:P118"/>
    <mergeCell ref="Q118:R118"/>
    <mergeCell ref="K119:L119"/>
    <mergeCell ref="M79:N79"/>
    <mergeCell ref="O79:P79"/>
    <mergeCell ref="Q79:R79"/>
    <mergeCell ref="K117:L117"/>
    <mergeCell ref="M117:N117"/>
    <mergeCell ref="O117:P117"/>
    <mergeCell ref="K114:L114"/>
    <mergeCell ref="K122:L122"/>
    <mergeCell ref="M122:N122"/>
    <mergeCell ref="O122:P122"/>
    <mergeCell ref="Q122:R122"/>
    <mergeCell ref="K120:L120"/>
    <mergeCell ref="M120:N120"/>
    <mergeCell ref="O120:P120"/>
    <mergeCell ref="Q120:R120"/>
    <mergeCell ref="K121:L121"/>
    <mergeCell ref="M121:N121"/>
    <mergeCell ref="M123:N123"/>
    <mergeCell ref="O123:P123"/>
    <mergeCell ref="Q123:R123"/>
    <mergeCell ref="K124:L124"/>
    <mergeCell ref="M124:N124"/>
    <mergeCell ref="O124:P124"/>
    <mergeCell ref="Q124:R124"/>
    <mergeCell ref="K123:L123"/>
    <mergeCell ref="K125:L125"/>
    <mergeCell ref="M125:N125"/>
    <mergeCell ref="O125:P125"/>
    <mergeCell ref="Q125:R125"/>
    <mergeCell ref="K126:L126"/>
    <mergeCell ref="M126:N126"/>
    <mergeCell ref="O126:P126"/>
    <mergeCell ref="Q126:R126"/>
    <mergeCell ref="K127:L127"/>
    <mergeCell ref="M127:N127"/>
    <mergeCell ref="O127:P127"/>
    <mergeCell ref="Q127:R127"/>
    <mergeCell ref="K128:L128"/>
    <mergeCell ref="M128:N128"/>
    <mergeCell ref="O128:P128"/>
    <mergeCell ref="Q128:R128"/>
    <mergeCell ref="K129:L129"/>
    <mergeCell ref="M129:N129"/>
    <mergeCell ref="O129:P129"/>
    <mergeCell ref="Q129:R129"/>
    <mergeCell ref="K130:L130"/>
    <mergeCell ref="M130:N130"/>
    <mergeCell ref="O130:P130"/>
    <mergeCell ref="Q130:R130"/>
    <mergeCell ref="A133:B133"/>
    <mergeCell ref="D133:G133"/>
    <mergeCell ref="K131:L131"/>
    <mergeCell ref="M131:N131"/>
    <mergeCell ref="O131:P131"/>
    <mergeCell ref="Q131:R131"/>
    <mergeCell ref="K132:L132"/>
    <mergeCell ref="M132:N132"/>
    <mergeCell ref="O132:P132"/>
    <mergeCell ref="Q132:R132"/>
    <mergeCell ref="K133:L133"/>
    <mergeCell ref="M133:N133"/>
    <mergeCell ref="O133:P133"/>
    <mergeCell ref="Q133:R133"/>
    <mergeCell ref="A134:B134"/>
    <mergeCell ref="D134:G134"/>
    <mergeCell ref="I134:J134"/>
    <mergeCell ref="K134:L134"/>
    <mergeCell ref="M134:N134"/>
    <mergeCell ref="O134:P134"/>
    <mergeCell ref="S134:T134"/>
    <mergeCell ref="A135:B135"/>
    <mergeCell ref="D135:G135"/>
    <mergeCell ref="I135:J135"/>
    <mergeCell ref="K135:L135"/>
    <mergeCell ref="M135:N135"/>
    <mergeCell ref="O135:P135"/>
    <mergeCell ref="Q135:R135"/>
    <mergeCell ref="S135:T135"/>
    <mergeCell ref="Q134:R134"/>
    <mergeCell ref="A136:B136"/>
    <mergeCell ref="D136:G136"/>
    <mergeCell ref="I136:J136"/>
    <mergeCell ref="K136:L136"/>
    <mergeCell ref="M136:N136"/>
    <mergeCell ref="O136:P136"/>
    <mergeCell ref="Q136:R136"/>
    <mergeCell ref="S136:T136"/>
    <mergeCell ref="A137:B137"/>
    <mergeCell ref="D137:G137"/>
    <mergeCell ref="I137:J137"/>
    <mergeCell ref="K137:L137"/>
    <mergeCell ref="M137:N137"/>
    <mergeCell ref="O137:P137"/>
    <mergeCell ref="Q137:R137"/>
    <mergeCell ref="S137:T137"/>
    <mergeCell ref="A138:B138"/>
    <mergeCell ref="D138:G138"/>
    <mergeCell ref="I138:J138"/>
    <mergeCell ref="K138:L138"/>
    <mergeCell ref="M138:N138"/>
    <mergeCell ref="O138:P138"/>
    <mergeCell ref="Q138:R138"/>
    <mergeCell ref="S138:T138"/>
    <mergeCell ref="A139:B139"/>
    <mergeCell ref="D139:G139"/>
    <mergeCell ref="I139:J139"/>
    <mergeCell ref="K139:L139"/>
    <mergeCell ref="M139:N139"/>
    <mergeCell ref="O139:P139"/>
    <mergeCell ref="Q139:R139"/>
    <mergeCell ref="S139:T139"/>
  </mergeCells>
  <printOptions/>
  <pageMargins left="0.25" right="0.25" top="0.25" bottom="0.5" header="0.25" footer="0.25"/>
  <pageSetup horizontalDpi="300" verticalDpi="300" orientation="landscape" scale="90" r:id="rId1"/>
  <headerFooter alignWithMargins="0">
    <oddFooter>&amp;L&amp;F&amp;C&amp;D&amp;R&amp;A</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dimension ref="A1:K42"/>
  <sheetViews>
    <sheetView showGridLines="0" zoomScale="75" zoomScaleNormal="75" zoomScalePageLayoutView="0" workbookViewId="0" topLeftCell="A1">
      <selection activeCell="E18" sqref="E18:K18"/>
    </sheetView>
  </sheetViews>
  <sheetFormatPr defaultColWidth="9.140625" defaultRowHeight="12.75"/>
  <cols>
    <col min="1" max="1" width="9.140625" style="149" customWidth="1"/>
    <col min="2" max="11" width="8.140625" style="149" customWidth="1"/>
    <col min="12" max="16384" width="9.140625" style="149" customWidth="1"/>
  </cols>
  <sheetData>
    <row r="1" spans="1:11" ht="25.5" customHeight="1">
      <c r="A1" s="1237" t="s">
        <v>70</v>
      </c>
      <c r="B1" s="1237"/>
      <c r="C1" s="1237"/>
      <c r="D1" s="1237"/>
      <c r="E1" s="1237"/>
      <c r="F1" s="1237"/>
      <c r="G1" s="1237"/>
      <c r="H1" s="1237"/>
      <c r="I1" s="1237"/>
      <c r="J1" s="1237"/>
      <c r="K1" s="1237"/>
    </row>
    <row r="2" spans="1:11" ht="25.5" customHeight="1">
      <c r="A2" s="208"/>
      <c r="B2" s="208"/>
      <c r="C2" s="208"/>
      <c r="D2" s="208"/>
      <c r="F2" s="208"/>
      <c r="G2" s="208"/>
      <c r="H2" s="208"/>
      <c r="I2" s="208"/>
      <c r="J2" s="208"/>
      <c r="K2" s="208"/>
    </row>
    <row r="3" spans="1:11" ht="25.5" customHeight="1">
      <c r="A3" s="208" t="s">
        <v>2679</v>
      </c>
      <c r="B3" s="208"/>
      <c r="E3" s="1219" t="str">
        <f>CONCATENATE(Input!F2," County")</f>
        <v>Lincoln County</v>
      </c>
      <c r="F3" s="1219"/>
      <c r="G3" s="1219"/>
      <c r="H3" s="1219"/>
      <c r="I3" s="1219" t="str">
        <f>CONCATENATE("Drawing # ",Input!F11)</f>
        <v>Drawing # 25546</v>
      </c>
      <c r="J3" s="1219"/>
      <c r="K3" s="1219"/>
    </row>
    <row r="4" spans="1:11" ht="25.5" customHeight="1">
      <c r="A4" s="208" t="s">
        <v>884</v>
      </c>
      <c r="B4" s="208"/>
      <c r="E4" s="1239">
        <f>Input!F5</f>
        <v>8</v>
      </c>
      <c r="F4" s="1239"/>
      <c r="G4" s="1239"/>
      <c r="H4" s="1239"/>
      <c r="I4" s="1239"/>
      <c r="J4" s="1239"/>
      <c r="K4" s="1239"/>
    </row>
    <row r="5" spans="1:11" ht="25.5" customHeight="1">
      <c r="A5" s="208" t="s">
        <v>2429</v>
      </c>
      <c r="C5" s="205"/>
      <c r="D5" s="205"/>
      <c r="E5" s="1219" t="str">
        <f>Input!F16</f>
        <v>Flax Creek</v>
      </c>
      <c r="F5" s="1219"/>
      <c r="G5" s="1219"/>
      <c r="H5" s="1219"/>
      <c r="I5" s="1219"/>
      <c r="J5" s="1219"/>
      <c r="K5" s="1219"/>
    </row>
    <row r="6" spans="1:11" ht="25.5" customHeight="1">
      <c r="A6" s="208" t="s">
        <v>2680</v>
      </c>
      <c r="E6" s="1240" t="str">
        <f>Input!F17</f>
        <v>SE of Crab Orchard</v>
      </c>
      <c r="F6" s="1240"/>
      <c r="G6" s="1240"/>
      <c r="H6" s="1240"/>
      <c r="I6" s="1240"/>
      <c r="J6" s="1240"/>
      <c r="K6" s="1240"/>
    </row>
    <row r="7" spans="1:11" ht="25.5" customHeight="1">
      <c r="A7" s="208" t="s">
        <v>2681</v>
      </c>
      <c r="B7" s="208"/>
      <c r="E7" s="1238">
        <f>Input!F27</f>
        <v>4</v>
      </c>
      <c r="F7" s="1238"/>
      <c r="G7" s="1238"/>
      <c r="H7" s="1238"/>
      <c r="I7" s="1238"/>
      <c r="J7" s="1238"/>
      <c r="K7" s="1238"/>
    </row>
    <row r="8" spans="1:11" ht="25.5" customHeight="1">
      <c r="A8" s="208" t="s">
        <v>2682</v>
      </c>
      <c r="B8" s="208"/>
      <c r="E8" s="1224" t="str">
        <f>CONCATENATE(Input!F39," / ",Input!F41)</f>
        <v>8400 / 12900</v>
      </c>
      <c r="F8" s="1224"/>
      <c r="G8" s="1224"/>
      <c r="H8" s="1224"/>
      <c r="I8" s="206" t="s">
        <v>2683</v>
      </c>
      <c r="J8" s="1241" t="str">
        <f>CONCATENATE(Input!F40," / ",Input!F42)</f>
        <v>2005 / 2025</v>
      </c>
      <c r="K8" s="1241"/>
    </row>
    <row r="9" spans="1:11" ht="25.5" customHeight="1">
      <c r="A9" s="208" t="s">
        <v>2684</v>
      </c>
      <c r="B9" s="208"/>
      <c r="E9" s="1219" t="str">
        <f>Input!F21</f>
        <v>HS-25</v>
      </c>
      <c r="F9" s="1219"/>
      <c r="G9" s="1219"/>
      <c r="H9" s="1219"/>
      <c r="I9" s="1219"/>
      <c r="J9" s="1219"/>
      <c r="K9" s="1219"/>
    </row>
    <row r="10" spans="1:11" ht="25.5" customHeight="1">
      <c r="A10" s="208" t="s">
        <v>2430</v>
      </c>
      <c r="B10" s="208"/>
      <c r="C10" s="208"/>
      <c r="D10" s="208"/>
      <c r="E10" s="1222" t="str">
        <f>CONCATENATE(TEXT(Input!F30,"0.000"),"  ",Input!I30)</f>
        <v>58.000  ft.</v>
      </c>
      <c r="F10" s="1222"/>
      <c r="G10" s="1222"/>
      <c r="H10" s="1222"/>
      <c r="I10" s="1222"/>
      <c r="J10" s="1222"/>
      <c r="K10" s="1222"/>
    </row>
    <row r="11" spans="1:11" ht="12.75" customHeight="1">
      <c r="A11" s="208"/>
      <c r="B11" s="208"/>
      <c r="C11" s="150"/>
      <c r="D11" s="150"/>
      <c r="E11" s="210"/>
      <c r="F11" s="210"/>
      <c r="G11" s="210"/>
      <c r="H11" s="210"/>
      <c r="I11" s="210"/>
      <c r="J11" s="210"/>
      <c r="K11" s="210"/>
    </row>
    <row r="12" spans="1:11" ht="12.75" customHeight="1">
      <c r="A12" s="208" t="s">
        <v>2431</v>
      </c>
      <c r="B12" s="150"/>
      <c r="D12" s="206" t="s">
        <v>2688</v>
      </c>
      <c r="E12" s="209" t="str">
        <f>IF(Input!F22=D12,"X","")</f>
        <v>X</v>
      </c>
      <c r="G12" s="206" t="s">
        <v>2689</v>
      </c>
      <c r="H12" s="209">
        <f>IF(Input!F22=G12,"X","")</f>
      </c>
      <c r="J12" s="206" t="s">
        <v>1659</v>
      </c>
      <c r="K12" s="209">
        <f>IF(Input!F22=J12,"X","")</f>
      </c>
    </row>
    <row r="13" spans="1:11" ht="25.5" customHeight="1">
      <c r="A13" s="208" t="s">
        <v>1660</v>
      </c>
      <c r="C13" s="210"/>
      <c r="D13" s="210"/>
      <c r="E13" s="1220" t="str">
        <f>CONCATENATE(TEXT(Input!F25,"0.0")," ",Input!I25," ",Input!J25)</f>
        <v>30.0 deg Rt</v>
      </c>
      <c r="F13" s="1220"/>
      <c r="G13" s="1220"/>
      <c r="H13" s="1220"/>
      <c r="I13" s="1220"/>
      <c r="J13" s="1220"/>
      <c r="K13" s="1220"/>
    </row>
    <row r="14" spans="1:11" ht="25.5" customHeight="1">
      <c r="A14" s="208" t="s">
        <v>1661</v>
      </c>
      <c r="B14" s="208"/>
      <c r="C14" s="208"/>
      <c r="D14" s="208"/>
      <c r="E14" s="1223" t="str">
        <f>CONCATENATE(Input!F26," - Span ",Input!F20)</f>
        <v>3 - Span PCIB Type 3</v>
      </c>
      <c r="F14" s="1223"/>
      <c r="G14" s="1223"/>
      <c r="H14" s="1223"/>
      <c r="I14" s="1223"/>
      <c r="J14" s="1223"/>
      <c r="K14" s="1223"/>
    </row>
    <row r="15" spans="1:11" ht="25.5" customHeight="1">
      <c r="A15" s="208" t="s">
        <v>1662</v>
      </c>
      <c r="B15" s="208"/>
      <c r="D15" s="207"/>
      <c r="E15" s="1225" t="str">
        <f>CONCATENATE(TEXT(Input!F28,"0.000")," ",Input!I28)</f>
        <v>153.464 ft.</v>
      </c>
      <c r="F15" s="1225"/>
      <c r="G15" s="1225"/>
      <c r="H15" s="1225"/>
      <c r="I15" s="1225"/>
      <c r="J15" s="1225"/>
      <c r="K15" s="1225"/>
    </row>
    <row r="16" spans="1:11" ht="25.5" customHeight="1">
      <c r="A16" s="208" t="s">
        <v>1663</v>
      </c>
      <c r="B16" s="208"/>
      <c r="C16" s="208"/>
      <c r="D16" s="208"/>
      <c r="E16" s="1226" t="str">
        <f>CONCATENATE(TEXT(Input!F31,"0.0")," ",Input!I31)</f>
        <v>50.0 ft.</v>
      </c>
      <c r="F16" s="1226"/>
      <c r="G16" s="1226"/>
      <c r="H16" s="1226"/>
      <c r="I16" s="1226"/>
      <c r="J16" s="1226"/>
      <c r="K16" s="1226"/>
    </row>
    <row r="17" spans="1:11" ht="25.5" customHeight="1">
      <c r="A17" s="208" t="s">
        <v>1664</v>
      </c>
      <c r="B17" s="208"/>
      <c r="C17" s="208"/>
      <c r="D17" s="150"/>
      <c r="E17" s="1226" t="str">
        <f>CONCATENATE(TEXT(Input!F29,"0.0")," ",Input!I29)</f>
        <v>53.0 ft.</v>
      </c>
      <c r="F17" s="1226"/>
      <c r="G17" s="1226"/>
      <c r="H17" s="1226"/>
      <c r="I17" s="1226"/>
      <c r="J17" s="1226"/>
      <c r="K17" s="1226"/>
    </row>
    <row r="18" spans="1:11" ht="25.5" customHeight="1">
      <c r="A18" s="208" t="s">
        <v>1665</v>
      </c>
      <c r="B18" s="208"/>
      <c r="C18" s="208"/>
      <c r="D18" s="208"/>
      <c r="E18" s="1221" t="s">
        <v>701</v>
      </c>
      <c r="F18" s="1221"/>
      <c r="G18" s="1221"/>
      <c r="H18" s="1221"/>
      <c r="I18" s="1221"/>
      <c r="J18" s="1221"/>
      <c r="K18" s="1221"/>
    </row>
    <row r="19" spans="1:11" ht="25.5" customHeight="1">
      <c r="A19" s="208" t="s">
        <v>1666</v>
      </c>
      <c r="B19" s="208"/>
      <c r="C19" s="208"/>
      <c r="D19" s="208"/>
      <c r="E19" s="1221" t="s">
        <v>2666</v>
      </c>
      <c r="F19" s="1221"/>
      <c r="G19" s="1221"/>
      <c r="H19" s="1221"/>
      <c r="I19" s="1221"/>
      <c r="J19" s="1221"/>
      <c r="K19" s="1221"/>
    </row>
    <row r="20" spans="1:11" ht="25.5" customHeight="1">
      <c r="A20" s="208" t="s">
        <v>1667</v>
      </c>
      <c r="B20" s="208"/>
      <c r="C20" s="208"/>
      <c r="D20" s="208"/>
      <c r="E20" s="1221" t="s">
        <v>2666</v>
      </c>
      <c r="F20" s="1221"/>
      <c r="G20" s="1221"/>
      <c r="H20" s="1221"/>
      <c r="I20" s="1221"/>
      <c r="J20" s="1221"/>
      <c r="K20" s="1221"/>
    </row>
    <row r="21" spans="1:11" ht="25.5" customHeight="1">
      <c r="A21" s="208" t="s">
        <v>1668</v>
      </c>
      <c r="B21" s="208"/>
      <c r="C21" s="208"/>
      <c r="D21" s="208"/>
      <c r="E21" s="1221" t="s">
        <v>2666</v>
      </c>
      <c r="F21" s="1221"/>
      <c r="G21" s="1221"/>
      <c r="H21" s="1221"/>
      <c r="I21" s="1221"/>
      <c r="J21" s="1221"/>
      <c r="K21" s="1221"/>
    </row>
    <row r="22" spans="1:11" ht="25.5" customHeight="1">
      <c r="A22" s="208" t="s">
        <v>1669</v>
      </c>
      <c r="B22" s="208"/>
      <c r="D22" s="207"/>
      <c r="E22" s="1219" t="str">
        <f>CONCATENATE(Input!F32," ",Input!I32,"  Concrete with ",Input!F33," ",Input!I33," cover")</f>
        <v>8 inch  Concrete with 2.5 inch cover</v>
      </c>
      <c r="F22" s="1219"/>
      <c r="G22" s="1219"/>
      <c r="H22" s="1219"/>
      <c r="I22" s="1219"/>
      <c r="J22" s="1219"/>
      <c r="K22" s="1219"/>
    </row>
    <row r="23" spans="1:11" ht="25.5" customHeight="1">
      <c r="A23" s="208" t="s">
        <v>2319</v>
      </c>
      <c r="B23" s="208"/>
      <c r="D23" s="207"/>
      <c r="E23" s="1219">
        <f>IF(Input!D103,CONCATENATE(Input!D103," ",Input!S103),"")</f>
      </c>
      <c r="F23" s="1219"/>
      <c r="G23" s="1219"/>
      <c r="H23" s="1219"/>
      <c r="I23" s="1219"/>
      <c r="J23" s="1219"/>
      <c r="K23" s="1219"/>
    </row>
    <row r="24" spans="1:11" ht="25.5" customHeight="1">
      <c r="A24" s="208"/>
      <c r="B24" s="208"/>
      <c r="C24" s="208"/>
      <c r="D24" s="208"/>
      <c r="E24" s="208"/>
      <c r="F24" s="208"/>
      <c r="G24" s="208"/>
      <c r="H24" s="208"/>
      <c r="I24" s="208"/>
      <c r="J24" s="208"/>
      <c r="K24" s="208"/>
    </row>
    <row r="25" ht="25.5" customHeight="1"/>
    <row r="26" ht="25.5" customHeight="1"/>
    <row r="27" ht="25.5" customHeight="1"/>
    <row r="28" ht="25.5" customHeight="1"/>
    <row r="29" spans="1:11" ht="25.5" customHeight="1">
      <c r="A29" s="1233" t="s">
        <v>3089</v>
      </c>
      <c r="B29" s="1233"/>
      <c r="C29" s="1233"/>
      <c r="D29" s="1233"/>
      <c r="E29" s="1233"/>
      <c r="F29" s="1233"/>
      <c r="G29" s="1233"/>
      <c r="H29" s="1233"/>
      <c r="I29" s="1233"/>
      <c r="J29" s="1233"/>
      <c r="K29" s="1233"/>
    </row>
    <row r="30" ht="25.5" customHeight="1"/>
    <row r="31" spans="3:9" ht="12.75">
      <c r="C31" s="1230"/>
      <c r="D31" s="1231"/>
      <c r="E31" s="1231"/>
      <c r="F31" s="1231"/>
      <c r="G31" s="1231"/>
      <c r="H31" s="1231"/>
      <c r="I31" s="1232"/>
    </row>
    <row r="32" spans="3:9" ht="12.75">
      <c r="C32" s="1234" t="s">
        <v>3090</v>
      </c>
      <c r="D32" s="1235"/>
      <c r="E32" s="1235"/>
      <c r="F32" s="1235"/>
      <c r="G32" s="1235"/>
      <c r="H32" s="1235"/>
      <c r="I32" s="1236"/>
    </row>
    <row r="33" spans="3:11" ht="12.75">
      <c r="C33" s="1227" t="str">
        <f>CONCATENATE(UPPER(E3),", ",Input!F3,", ",Input!F4)</f>
        <v>LINCOLN COUNTY, FD04 069 0150 016-020, none</v>
      </c>
      <c r="D33" s="1228"/>
      <c r="E33" s="1228"/>
      <c r="F33" s="1228"/>
      <c r="G33" s="1228"/>
      <c r="H33" s="1228"/>
      <c r="I33" s="1229"/>
      <c r="J33" s="371"/>
      <c r="K33" s="371"/>
    </row>
    <row r="34" spans="3:11" ht="12.75">
      <c r="C34" s="1227" t="str">
        <f>CONCATENATE(Input!F14,", ",Input!F15," over ",Input!F16)</f>
        <v>US 150, Crab Orchard - Mt Vernon Road over Flax Creek</v>
      </c>
      <c r="D34" s="1228"/>
      <c r="E34" s="1228"/>
      <c r="F34" s="1228"/>
      <c r="G34" s="1228"/>
      <c r="H34" s="1228"/>
      <c r="I34" s="1229"/>
      <c r="J34" s="371"/>
      <c r="K34" s="371"/>
    </row>
    <row r="35" spans="3:11" ht="12.75">
      <c r="C35" s="1227" t="str">
        <f>CONCATENATE("Station ",Input!F24,", Drawing Number ",Input!F11)</f>
        <v>Station 167+50.000, Drawing Number 25546</v>
      </c>
      <c r="D35" s="1228"/>
      <c r="E35" s="1228"/>
      <c r="F35" s="1228"/>
      <c r="G35" s="1228"/>
      <c r="H35" s="1228"/>
      <c r="I35" s="1229"/>
      <c r="J35" s="371"/>
      <c r="K35" s="371"/>
    </row>
    <row r="36" spans="3:11" ht="12.75">
      <c r="C36" s="1227" t="str">
        <f>CONCATENATE("Item Number ",Input!F6)</f>
        <v>Item Number 8-163.00</v>
      </c>
      <c r="D36" s="1228"/>
      <c r="E36" s="1228"/>
      <c r="F36" s="1228"/>
      <c r="G36" s="1228"/>
      <c r="H36" s="1228"/>
      <c r="I36" s="1229"/>
      <c r="J36" s="371"/>
      <c r="K36" s="371"/>
    </row>
    <row r="37" spans="3:11" ht="12.75">
      <c r="C37" s="1227" t="str">
        <f>'TC 66-101 (Bridge Est.)'!D12</f>
        <v>Simpson Design Section</v>
      </c>
      <c r="D37" s="1228"/>
      <c r="E37" s="1228"/>
      <c r="F37" s="1228"/>
      <c r="G37" s="1228"/>
      <c r="H37" s="1228"/>
      <c r="I37" s="1229"/>
      <c r="J37" s="371"/>
      <c r="K37" s="371"/>
    </row>
    <row r="38" spans="1:11" ht="12.75">
      <c r="A38" s="527"/>
      <c r="B38" s="527"/>
      <c r="C38" s="528"/>
      <c r="D38" s="529"/>
      <c r="E38" s="529"/>
      <c r="F38" s="529"/>
      <c r="G38" s="529"/>
      <c r="H38" s="529"/>
      <c r="I38" s="530"/>
      <c r="J38" s="527"/>
      <c r="K38" s="527"/>
    </row>
    <row r="39" spans="1:11" ht="12.75">
      <c r="A39" s="527"/>
      <c r="B39" s="527"/>
      <c r="C39" s="527"/>
      <c r="D39" s="527"/>
      <c r="E39" s="527"/>
      <c r="F39" s="527"/>
      <c r="G39" s="527"/>
      <c r="H39" s="527"/>
      <c r="I39" s="527"/>
      <c r="J39" s="527"/>
      <c r="K39" s="527"/>
    </row>
    <row r="40" spans="1:11" ht="12.75">
      <c r="A40" s="527"/>
      <c r="B40" s="527"/>
      <c r="C40" s="527"/>
      <c r="D40" s="527"/>
      <c r="E40" s="527"/>
      <c r="F40" s="527"/>
      <c r="G40" s="527"/>
      <c r="H40" s="527"/>
      <c r="I40" s="527"/>
      <c r="J40" s="527"/>
      <c r="K40" s="527"/>
    </row>
    <row r="41" spans="1:11" ht="12.75">
      <c r="A41" s="527"/>
      <c r="B41" s="527"/>
      <c r="C41" s="527"/>
      <c r="D41" s="527"/>
      <c r="E41" s="527"/>
      <c r="F41" s="527"/>
      <c r="G41" s="527"/>
      <c r="H41" s="527"/>
      <c r="I41" s="527"/>
      <c r="J41" s="527"/>
      <c r="K41" s="527"/>
    </row>
    <row r="42" spans="1:11" ht="12.75">
      <c r="A42" s="371"/>
      <c r="B42" s="371"/>
      <c r="C42" s="371"/>
      <c r="D42" s="371"/>
      <c r="E42" s="371"/>
      <c r="F42" s="371"/>
      <c r="G42" s="371"/>
      <c r="H42" s="371"/>
      <c r="I42" s="371"/>
      <c r="J42" s="371"/>
      <c r="K42" s="371"/>
    </row>
  </sheetData>
  <sheetProtection password="CBEB" sheet="1" objects="1" scenarios="1"/>
  <mergeCells count="30">
    <mergeCell ref="C35:I35"/>
    <mergeCell ref="C36:I36"/>
    <mergeCell ref="A1:K1"/>
    <mergeCell ref="E9:K9"/>
    <mergeCell ref="E7:K7"/>
    <mergeCell ref="E4:K4"/>
    <mergeCell ref="E6:K6"/>
    <mergeCell ref="I3:K3"/>
    <mergeCell ref="E3:H3"/>
    <mergeCell ref="J8:K8"/>
    <mergeCell ref="E16:K16"/>
    <mergeCell ref="E17:K17"/>
    <mergeCell ref="E18:K18"/>
    <mergeCell ref="E22:K22"/>
    <mergeCell ref="C37:I37"/>
    <mergeCell ref="C31:I31"/>
    <mergeCell ref="A29:K29"/>
    <mergeCell ref="C32:I32"/>
    <mergeCell ref="C33:I33"/>
    <mergeCell ref="C34:I34"/>
    <mergeCell ref="E5:K5"/>
    <mergeCell ref="E13:K13"/>
    <mergeCell ref="E23:K23"/>
    <mergeCell ref="E19:K19"/>
    <mergeCell ref="E20:K20"/>
    <mergeCell ref="E21:K21"/>
    <mergeCell ref="E10:K10"/>
    <mergeCell ref="E14:K14"/>
    <mergeCell ref="E8:H8"/>
    <mergeCell ref="E15:K15"/>
  </mergeCells>
  <printOptions/>
  <pageMargins left="1" right="0.25" top="1" bottom="1" header="0.5" footer="0.25"/>
  <pageSetup horizontalDpi="300" verticalDpi="300" orientation="portrait"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dimension ref="A1:P1408"/>
  <sheetViews>
    <sheetView zoomScalePageLayoutView="0" workbookViewId="0" topLeftCell="A1">
      <pane ySplit="8" topLeftCell="A896" activePane="bottomLeft" state="frozen"/>
      <selection pane="topLeft" activeCell="A1" sqref="A1"/>
      <selection pane="bottomLeft" activeCell="B906" sqref="B906"/>
    </sheetView>
  </sheetViews>
  <sheetFormatPr defaultColWidth="9.140625" defaultRowHeight="12.75"/>
  <cols>
    <col min="1" max="1" width="7.28125" style="0" customWidth="1"/>
    <col min="2" max="2" width="11.8515625" style="539" bestFit="1" customWidth="1"/>
    <col min="3" max="3" width="49.140625" style="0" bestFit="1" customWidth="1"/>
    <col min="4" max="4" width="6.57421875" style="0" bestFit="1" customWidth="1"/>
    <col min="5" max="5" width="10.28125" style="540" bestFit="1" customWidth="1"/>
    <col min="6" max="6" width="13.8515625" style="541" bestFit="1" customWidth="1"/>
    <col min="7" max="7" width="12.7109375" style="541" bestFit="1" customWidth="1"/>
    <col min="8" max="8" width="9.8515625" style="542" bestFit="1" customWidth="1"/>
    <col min="9" max="9" width="15.140625" style="0" bestFit="1" customWidth="1"/>
    <col min="10" max="10" width="9.140625" style="369" customWidth="1"/>
    <col min="11" max="11" width="8.28125" style="370" customWidth="1"/>
    <col min="12" max="12" width="53.57421875" style="371" bestFit="1" customWidth="1"/>
    <col min="13" max="13" width="8.140625" style="371" customWidth="1"/>
    <col min="14" max="14" width="7.7109375" style="374" customWidth="1"/>
    <col min="15" max="15" width="41.57421875" style="374" bestFit="1" customWidth="1"/>
    <col min="16" max="16" width="8.8515625" style="374" customWidth="1"/>
    <col min="17" max="16384" width="9.140625" style="369" customWidth="1"/>
  </cols>
  <sheetData>
    <row r="1" spans="1:16" ht="28.5" customHeight="1" thickBot="1">
      <c r="A1" s="1243" t="s">
        <v>3472</v>
      </c>
      <c r="B1" s="1243"/>
      <c r="C1" s="1243"/>
      <c r="K1" s="363" t="s">
        <v>3157</v>
      </c>
      <c r="L1" s="364" t="s">
        <v>3158</v>
      </c>
      <c r="M1" s="365" t="s">
        <v>3159</v>
      </c>
      <c r="N1" s="366" t="s">
        <v>3160</v>
      </c>
      <c r="O1" s="367" t="s">
        <v>3161</v>
      </c>
      <c r="P1" s="368" t="s">
        <v>3162</v>
      </c>
    </row>
    <row r="2" spans="1:16" ht="12.75">
      <c r="A2" s="1243" t="s">
        <v>5760</v>
      </c>
      <c r="B2" s="1243"/>
      <c r="C2" s="1243"/>
      <c r="K2" s="370">
        <v>1</v>
      </c>
      <c r="L2" s="371" t="s">
        <v>3163</v>
      </c>
      <c r="M2" s="372" t="s">
        <v>3164</v>
      </c>
      <c r="N2" s="373" t="s">
        <v>3165</v>
      </c>
      <c r="O2" s="374" t="s">
        <v>3163</v>
      </c>
      <c r="P2" s="374" t="s">
        <v>3166</v>
      </c>
    </row>
    <row r="3" spans="1:16" ht="12.75">
      <c r="A3" s="1243"/>
      <c r="B3" s="1243"/>
      <c r="C3" s="1243"/>
      <c r="K3" s="370">
        <v>2</v>
      </c>
      <c r="L3" s="371" t="s">
        <v>3167</v>
      </c>
      <c r="M3" s="372" t="s">
        <v>3164</v>
      </c>
      <c r="N3" s="373" t="s">
        <v>3168</v>
      </c>
      <c r="O3" s="374" t="s">
        <v>3169</v>
      </c>
      <c r="P3" s="374" t="s">
        <v>3166</v>
      </c>
    </row>
    <row r="4" spans="1:16" ht="12.75">
      <c r="A4" s="1243" t="s">
        <v>697</v>
      </c>
      <c r="B4" s="1243"/>
      <c r="C4" s="1243"/>
      <c r="K4" s="370">
        <v>3</v>
      </c>
      <c r="L4" s="371" t="s">
        <v>3170</v>
      </c>
      <c r="M4" s="372" t="s">
        <v>3164</v>
      </c>
      <c r="N4" s="373" t="s">
        <v>3171</v>
      </c>
      <c r="O4" s="374" t="s">
        <v>3170</v>
      </c>
      <c r="P4" s="374" t="s">
        <v>3166</v>
      </c>
    </row>
    <row r="5" spans="1:16" ht="12.75">
      <c r="A5" s="1242" t="s">
        <v>5761</v>
      </c>
      <c r="B5" s="1243"/>
      <c r="C5" s="1243"/>
      <c r="K5" s="370">
        <v>4</v>
      </c>
      <c r="L5" s="371" t="s">
        <v>3172</v>
      </c>
      <c r="M5" s="372" t="s">
        <v>3173</v>
      </c>
      <c r="N5" s="373" t="s">
        <v>3174</v>
      </c>
      <c r="O5" s="374" t="s">
        <v>3172</v>
      </c>
      <c r="P5" s="374" t="s">
        <v>3175</v>
      </c>
    </row>
    <row r="6" spans="1:16" ht="12.75">
      <c r="A6" s="1244"/>
      <c r="B6" s="1244"/>
      <c r="C6" s="1244"/>
      <c r="K6" s="370">
        <v>7</v>
      </c>
      <c r="L6" s="371" t="s">
        <v>3176</v>
      </c>
      <c r="M6" s="372" t="s">
        <v>3164</v>
      </c>
      <c r="N6" s="373" t="s">
        <v>3177</v>
      </c>
      <c r="O6" s="374" t="s">
        <v>3176</v>
      </c>
      <c r="P6" s="374" t="s">
        <v>3166</v>
      </c>
    </row>
    <row r="7" spans="1:16" ht="24" thickBot="1">
      <c r="A7" s="549" t="s">
        <v>692</v>
      </c>
      <c r="B7" s="550" t="s">
        <v>693</v>
      </c>
      <c r="C7" s="551" t="s">
        <v>1769</v>
      </c>
      <c r="D7" s="551" t="s">
        <v>2446</v>
      </c>
      <c r="E7" s="552" t="s">
        <v>1770</v>
      </c>
      <c r="F7" s="551" t="s">
        <v>3982</v>
      </c>
      <c r="G7" s="553" t="s">
        <v>3983</v>
      </c>
      <c r="H7" s="554" t="s">
        <v>3984</v>
      </c>
      <c r="I7" s="555" t="s">
        <v>694</v>
      </c>
      <c r="K7" s="370">
        <v>8</v>
      </c>
      <c r="L7" s="371" t="s">
        <v>3178</v>
      </c>
      <c r="M7" s="372" t="s">
        <v>3173</v>
      </c>
      <c r="N7" s="373" t="s">
        <v>3179</v>
      </c>
      <c r="O7" s="374" t="s">
        <v>3178</v>
      </c>
      <c r="P7" s="374" t="s">
        <v>3175</v>
      </c>
    </row>
    <row r="8" spans="1:16" ht="13.5" thickTop="1">
      <c r="A8">
        <v>1</v>
      </c>
      <c r="B8" s="562">
        <v>301</v>
      </c>
      <c r="C8" t="s">
        <v>4338</v>
      </c>
      <c r="D8" s="107" t="s">
        <v>1771</v>
      </c>
      <c r="E8" s="540">
        <v>1029499</v>
      </c>
      <c r="F8" s="556">
        <v>103444</v>
      </c>
      <c r="G8" s="541">
        <v>100.48</v>
      </c>
      <c r="H8" s="560">
        <v>8.68</v>
      </c>
      <c r="I8" s="107">
        <v>337</v>
      </c>
      <c r="K8" s="370">
        <v>13</v>
      </c>
      <c r="L8" s="371" t="s">
        <v>3180</v>
      </c>
      <c r="M8" s="372" t="s">
        <v>3173</v>
      </c>
      <c r="N8" s="373" t="s">
        <v>3181</v>
      </c>
      <c r="O8" s="374" t="s">
        <v>3180</v>
      </c>
      <c r="P8" s="374" t="s">
        <v>3175</v>
      </c>
    </row>
    <row r="9" spans="1:16" ht="12.75">
      <c r="A9">
        <v>2</v>
      </c>
      <c r="B9" s="562">
        <v>2200</v>
      </c>
      <c r="C9" t="s">
        <v>4339</v>
      </c>
      <c r="D9" s="107" t="s">
        <v>1773</v>
      </c>
      <c r="E9" s="540">
        <v>14173957</v>
      </c>
      <c r="F9" s="556">
        <v>92679</v>
      </c>
      <c r="G9" s="541">
        <v>6.54</v>
      </c>
      <c r="H9" s="560">
        <v>7.77</v>
      </c>
      <c r="I9" s="107">
        <v>66</v>
      </c>
      <c r="K9" s="370">
        <v>14</v>
      </c>
      <c r="L9" s="371" t="s">
        <v>3182</v>
      </c>
      <c r="M9" s="372" t="s">
        <v>3164</v>
      </c>
      <c r="N9" s="373" t="s">
        <v>3183</v>
      </c>
      <c r="O9" s="374" t="s">
        <v>3182</v>
      </c>
      <c r="P9" s="374" t="s">
        <v>3166</v>
      </c>
    </row>
    <row r="10" spans="1:16" ht="12.75">
      <c r="A10">
        <v>3</v>
      </c>
      <c r="B10" s="562">
        <v>214</v>
      </c>
      <c r="C10" t="s">
        <v>4340</v>
      </c>
      <c r="D10" s="107" t="s">
        <v>1771</v>
      </c>
      <c r="E10" s="540">
        <v>456159</v>
      </c>
      <c r="F10" s="556">
        <v>42075</v>
      </c>
      <c r="G10" s="541">
        <v>92.24</v>
      </c>
      <c r="H10" s="560">
        <v>3.53</v>
      </c>
      <c r="I10" s="107">
        <v>40</v>
      </c>
      <c r="K10" s="370">
        <v>15</v>
      </c>
      <c r="L10" s="371" t="s">
        <v>3184</v>
      </c>
      <c r="M10" s="372" t="s">
        <v>3164</v>
      </c>
      <c r="N10" s="373" t="s">
        <v>3185</v>
      </c>
      <c r="O10" s="374" t="s">
        <v>3184</v>
      </c>
      <c r="P10" s="374" t="s">
        <v>3166</v>
      </c>
    </row>
    <row r="11" spans="1:16" ht="12.75">
      <c r="A11">
        <v>4</v>
      </c>
      <c r="B11" s="562">
        <v>342</v>
      </c>
      <c r="C11" t="s">
        <v>4341</v>
      </c>
      <c r="D11" s="107" t="s">
        <v>1771</v>
      </c>
      <c r="E11" s="540">
        <v>351392</v>
      </c>
      <c r="F11" s="556">
        <v>41614</v>
      </c>
      <c r="G11" s="541">
        <v>118.43</v>
      </c>
      <c r="H11" s="560">
        <v>3.49</v>
      </c>
      <c r="I11" s="107">
        <v>21</v>
      </c>
      <c r="K11" s="370">
        <v>17</v>
      </c>
      <c r="L11" s="371" t="s">
        <v>3186</v>
      </c>
      <c r="M11" s="372" t="s">
        <v>3164</v>
      </c>
      <c r="N11" s="373" t="s">
        <v>3187</v>
      </c>
      <c r="O11" s="374" t="s">
        <v>3186</v>
      </c>
      <c r="P11" s="374" t="s">
        <v>3166</v>
      </c>
    </row>
    <row r="12" spans="1:16" ht="12.75">
      <c r="A12">
        <v>5</v>
      </c>
      <c r="B12" s="561">
        <v>3</v>
      </c>
      <c r="C12" t="s">
        <v>4342</v>
      </c>
      <c r="D12" s="107" t="s">
        <v>1771</v>
      </c>
      <c r="E12" s="540">
        <v>1084246</v>
      </c>
      <c r="F12" s="556">
        <v>33239</v>
      </c>
      <c r="G12" s="541">
        <v>30.66</v>
      </c>
      <c r="H12" s="560">
        <v>2.79</v>
      </c>
      <c r="I12" s="107">
        <v>51</v>
      </c>
      <c r="K12" s="370">
        <v>18</v>
      </c>
      <c r="L12" s="371" t="s">
        <v>3188</v>
      </c>
      <c r="M12" s="372" t="s">
        <v>3164</v>
      </c>
      <c r="N12" s="373" t="s">
        <v>3189</v>
      </c>
      <c r="O12" s="374" t="s">
        <v>3188</v>
      </c>
      <c r="P12" s="374" t="s">
        <v>3166</v>
      </c>
    </row>
    <row r="13" spans="1:16" ht="12.75">
      <c r="A13">
        <v>6</v>
      </c>
      <c r="B13" s="561">
        <v>2568</v>
      </c>
      <c r="C13" t="s">
        <v>4343</v>
      </c>
      <c r="D13" s="107" t="s">
        <v>2441</v>
      </c>
      <c r="E13">
        <v>55</v>
      </c>
      <c r="F13" s="556">
        <v>32497</v>
      </c>
      <c r="G13" s="541">
        <v>590856.1</v>
      </c>
      <c r="H13" s="560">
        <v>2.73</v>
      </c>
      <c r="I13" s="107">
        <v>55</v>
      </c>
      <c r="K13" s="370">
        <v>19</v>
      </c>
      <c r="L13" s="371" t="s">
        <v>3190</v>
      </c>
      <c r="M13" s="372" t="s">
        <v>3164</v>
      </c>
      <c r="N13" s="373" t="s">
        <v>3191</v>
      </c>
      <c r="O13" s="374" t="s">
        <v>3190</v>
      </c>
      <c r="P13" s="374" t="s">
        <v>3166</v>
      </c>
    </row>
    <row r="14" spans="1:16" ht="12.75">
      <c r="A14">
        <v>7</v>
      </c>
      <c r="B14" s="561">
        <v>2650</v>
      </c>
      <c r="C14" t="s">
        <v>4344</v>
      </c>
      <c r="D14" s="107" t="s">
        <v>2441</v>
      </c>
      <c r="E14">
        <v>667</v>
      </c>
      <c r="F14" s="556">
        <v>31778</v>
      </c>
      <c r="G14" s="541">
        <v>47643.05</v>
      </c>
      <c r="H14" s="560">
        <v>2.67</v>
      </c>
      <c r="I14" s="107">
        <v>667</v>
      </c>
      <c r="K14" s="370">
        <v>20</v>
      </c>
      <c r="L14" s="371" t="s">
        <v>3192</v>
      </c>
      <c r="M14" s="372" t="s">
        <v>3164</v>
      </c>
      <c r="N14" s="373" t="s">
        <v>3193</v>
      </c>
      <c r="O14" s="374" t="s">
        <v>3192</v>
      </c>
      <c r="P14" s="374" t="s">
        <v>3166</v>
      </c>
    </row>
    <row r="15" spans="1:16" ht="12.75">
      <c r="A15">
        <v>8</v>
      </c>
      <c r="B15" s="561">
        <v>212</v>
      </c>
      <c r="C15" t="s">
        <v>4345</v>
      </c>
      <c r="D15" s="107" t="s">
        <v>1771</v>
      </c>
      <c r="E15" s="540">
        <v>282037</v>
      </c>
      <c r="F15" s="556">
        <v>28120</v>
      </c>
      <c r="G15" s="541">
        <v>99.7</v>
      </c>
      <c r="H15" s="560">
        <v>2.36</v>
      </c>
      <c r="I15" s="107">
        <v>91</v>
      </c>
      <c r="K15" s="370">
        <v>21</v>
      </c>
      <c r="L15" s="371" t="s">
        <v>3194</v>
      </c>
      <c r="M15" s="372" t="s">
        <v>3195</v>
      </c>
      <c r="N15" s="373" t="s">
        <v>3196</v>
      </c>
      <c r="O15" s="374" t="s">
        <v>3194</v>
      </c>
      <c r="P15" s="374" t="s">
        <v>3197</v>
      </c>
    </row>
    <row r="16" spans="1:16" ht="12.75">
      <c r="A16">
        <v>9</v>
      </c>
      <c r="B16" s="561">
        <v>388</v>
      </c>
      <c r="C16" t="s">
        <v>4346</v>
      </c>
      <c r="D16" s="107" t="s">
        <v>1771</v>
      </c>
      <c r="E16" s="540">
        <v>255588</v>
      </c>
      <c r="F16" s="556">
        <v>26968</v>
      </c>
      <c r="G16" s="541">
        <v>105.51</v>
      </c>
      <c r="H16" s="560">
        <v>2.26</v>
      </c>
      <c r="I16" s="107">
        <v>65</v>
      </c>
      <c r="K16" s="370">
        <v>22</v>
      </c>
      <c r="L16" s="371" t="s">
        <v>3198</v>
      </c>
      <c r="M16" s="372" t="s">
        <v>3164</v>
      </c>
      <c r="N16" s="373" t="s">
        <v>3199</v>
      </c>
      <c r="O16" s="374" t="s">
        <v>3198</v>
      </c>
      <c r="P16" s="374" t="s">
        <v>3166</v>
      </c>
    </row>
    <row r="17" spans="1:16" ht="12.75">
      <c r="A17">
        <v>10</v>
      </c>
      <c r="B17" s="561">
        <v>8100</v>
      </c>
      <c r="C17" t="s">
        <v>4347</v>
      </c>
      <c r="D17" s="107" t="s">
        <v>1773</v>
      </c>
      <c r="E17" s="540">
        <v>28019</v>
      </c>
      <c r="F17" s="556">
        <v>25222</v>
      </c>
      <c r="G17" s="541">
        <v>900.17</v>
      </c>
      <c r="H17" s="560">
        <v>2.12</v>
      </c>
      <c r="I17" s="107">
        <v>68</v>
      </c>
      <c r="K17" s="370">
        <v>67</v>
      </c>
      <c r="L17" s="371" t="s">
        <v>3200</v>
      </c>
      <c r="M17" s="372" t="s">
        <v>3164</v>
      </c>
      <c r="N17" s="373" t="s">
        <v>3201</v>
      </c>
      <c r="O17" s="374" t="s">
        <v>3200</v>
      </c>
      <c r="P17" s="374" t="s">
        <v>3166</v>
      </c>
    </row>
    <row r="18" spans="1:16" ht="12.75">
      <c r="A18">
        <v>11</v>
      </c>
      <c r="B18" s="561">
        <v>190</v>
      </c>
      <c r="C18" t="s">
        <v>4348</v>
      </c>
      <c r="D18" s="107" t="s">
        <v>1771</v>
      </c>
      <c r="E18" s="540">
        <v>211047</v>
      </c>
      <c r="F18" s="556">
        <v>21534</v>
      </c>
      <c r="G18" s="541">
        <v>102.03</v>
      </c>
      <c r="H18" s="560">
        <v>1.81</v>
      </c>
      <c r="I18" s="107">
        <v>414</v>
      </c>
      <c r="K18" s="370">
        <v>68</v>
      </c>
      <c r="L18" s="371" t="s">
        <v>3202</v>
      </c>
      <c r="M18" s="372" t="s">
        <v>3164</v>
      </c>
      <c r="N18" s="373" t="s">
        <v>3203</v>
      </c>
      <c r="O18" s="374" t="s">
        <v>3202</v>
      </c>
      <c r="P18" s="374" t="s">
        <v>3166</v>
      </c>
    </row>
    <row r="19" spans="1:16" ht="12.75">
      <c r="A19">
        <v>12</v>
      </c>
      <c r="B19" s="561">
        <v>2677</v>
      </c>
      <c r="C19" t="s">
        <v>4349</v>
      </c>
      <c r="D19" s="107" t="s">
        <v>1771</v>
      </c>
      <c r="E19" s="540">
        <v>1122457</v>
      </c>
      <c r="F19" s="556">
        <v>21185</v>
      </c>
      <c r="G19" s="541">
        <v>18.87</v>
      </c>
      <c r="H19" s="560">
        <v>1.78</v>
      </c>
      <c r="I19" s="107">
        <v>474</v>
      </c>
      <c r="K19" s="370">
        <v>69</v>
      </c>
      <c r="L19" s="371" t="s">
        <v>3204</v>
      </c>
      <c r="M19" s="372" t="s">
        <v>3164</v>
      </c>
      <c r="N19" s="373" t="s">
        <v>3205</v>
      </c>
      <c r="O19" s="374" t="s">
        <v>3204</v>
      </c>
      <c r="P19" s="374" t="s">
        <v>3166</v>
      </c>
    </row>
    <row r="20" spans="1:16" ht="12.75">
      <c r="A20">
        <v>13</v>
      </c>
      <c r="B20" s="561">
        <v>2569</v>
      </c>
      <c r="C20" t="s">
        <v>4350</v>
      </c>
      <c r="D20" s="107" t="s">
        <v>2441</v>
      </c>
      <c r="E20" s="540">
        <v>667</v>
      </c>
      <c r="F20" s="556">
        <v>17899</v>
      </c>
      <c r="G20" s="541">
        <v>26835.47</v>
      </c>
      <c r="H20" s="560">
        <v>1.5</v>
      </c>
      <c r="I20" s="107">
        <v>667</v>
      </c>
      <c r="K20" s="370">
        <v>71</v>
      </c>
      <c r="L20" s="371" t="s">
        <v>3206</v>
      </c>
      <c r="M20" s="372" t="s">
        <v>3164</v>
      </c>
      <c r="N20" s="373" t="s">
        <v>3207</v>
      </c>
      <c r="O20" s="374" t="s">
        <v>3206</v>
      </c>
      <c r="P20" s="374" t="s">
        <v>3166</v>
      </c>
    </row>
    <row r="21" spans="1:16" ht="12.75">
      <c r="A21">
        <v>14</v>
      </c>
      <c r="B21" s="557">
        <v>8104</v>
      </c>
      <c r="C21" t="s">
        <v>4351</v>
      </c>
      <c r="D21" s="107" t="s">
        <v>1773</v>
      </c>
      <c r="E21">
        <v>15571</v>
      </c>
      <c r="F21" s="556">
        <v>16710</v>
      </c>
      <c r="G21" s="541">
        <v>1073.16</v>
      </c>
      <c r="H21" s="560">
        <v>1.4</v>
      </c>
      <c r="I21" s="107">
        <v>36</v>
      </c>
      <c r="K21" s="370">
        <v>72</v>
      </c>
      <c r="L21" s="371" t="s">
        <v>3208</v>
      </c>
      <c r="M21" s="372" t="s">
        <v>3164</v>
      </c>
      <c r="N21" s="373" t="s">
        <v>3209</v>
      </c>
      <c r="O21" s="374" t="s">
        <v>3208</v>
      </c>
      <c r="P21" s="374" t="s">
        <v>3166</v>
      </c>
    </row>
    <row r="22" spans="1:16" ht="12.75">
      <c r="A22">
        <v>15</v>
      </c>
      <c r="B22" s="557">
        <v>2230</v>
      </c>
      <c r="C22" t="s">
        <v>4352</v>
      </c>
      <c r="D22" s="107" t="s">
        <v>1773</v>
      </c>
      <c r="E22" s="540">
        <v>808441</v>
      </c>
      <c r="F22" s="556">
        <v>14636</v>
      </c>
      <c r="G22" s="541">
        <v>18.1</v>
      </c>
      <c r="H22" s="560">
        <v>1.23</v>
      </c>
      <c r="I22" s="107">
        <v>23</v>
      </c>
      <c r="K22" s="370">
        <v>77</v>
      </c>
      <c r="L22" s="371" t="s">
        <v>3210</v>
      </c>
      <c r="M22" s="372" t="s">
        <v>3164</v>
      </c>
      <c r="N22" s="373" t="s">
        <v>1080</v>
      </c>
      <c r="O22" s="374" t="s">
        <v>3210</v>
      </c>
      <c r="P22" s="374" t="s">
        <v>3166</v>
      </c>
    </row>
    <row r="23" spans="1:16" ht="12.75">
      <c r="A23">
        <v>16</v>
      </c>
      <c r="B23" s="557">
        <v>219</v>
      </c>
      <c r="C23" t="s">
        <v>4353</v>
      </c>
      <c r="D23" s="107" t="s">
        <v>1771</v>
      </c>
      <c r="E23" s="540">
        <v>155034</v>
      </c>
      <c r="F23" s="556">
        <v>12783</v>
      </c>
      <c r="G23" s="541">
        <v>82.45</v>
      </c>
      <c r="H23" s="560">
        <v>1.07</v>
      </c>
      <c r="I23" s="107">
        <v>11</v>
      </c>
      <c r="K23" s="370">
        <v>78</v>
      </c>
      <c r="L23" s="371" t="s">
        <v>1081</v>
      </c>
      <c r="M23" s="372" t="s">
        <v>3164</v>
      </c>
      <c r="N23" s="373" t="s">
        <v>1082</v>
      </c>
      <c r="O23" s="374" t="s">
        <v>1081</v>
      </c>
      <c r="P23" s="374" t="s">
        <v>3166</v>
      </c>
    </row>
    <row r="24" spans="1:16" ht="12.75">
      <c r="A24">
        <v>17</v>
      </c>
      <c r="B24" s="557">
        <v>8160</v>
      </c>
      <c r="C24" t="s">
        <v>4354</v>
      </c>
      <c r="D24" s="107" t="s">
        <v>2441</v>
      </c>
      <c r="E24" s="540">
        <v>6</v>
      </c>
      <c r="F24" s="556">
        <v>12352</v>
      </c>
      <c r="G24" s="541">
        <v>2058667</v>
      </c>
      <c r="H24" s="560">
        <v>1.04</v>
      </c>
      <c r="I24" s="107">
        <v>6</v>
      </c>
      <c r="K24" s="370">
        <v>80</v>
      </c>
      <c r="L24" s="371" t="s">
        <v>1083</v>
      </c>
      <c r="M24" s="372" t="s">
        <v>3164</v>
      </c>
      <c r="N24" s="373" t="s">
        <v>1084</v>
      </c>
      <c r="O24" s="374" t="s">
        <v>1083</v>
      </c>
      <c r="P24" s="374" t="s">
        <v>3166</v>
      </c>
    </row>
    <row r="25" spans="1:16" ht="12.75">
      <c r="A25">
        <v>18</v>
      </c>
      <c r="B25" s="557">
        <v>2351</v>
      </c>
      <c r="C25" t="s">
        <v>4355</v>
      </c>
      <c r="D25" s="107" t="s">
        <v>2439</v>
      </c>
      <c r="E25" s="540">
        <v>340404</v>
      </c>
      <c r="F25" s="556">
        <v>11701</v>
      </c>
      <c r="G25" s="541">
        <v>34.37</v>
      </c>
      <c r="H25" s="560">
        <v>0.98</v>
      </c>
      <c r="I25" s="107">
        <v>95</v>
      </c>
      <c r="K25" s="370">
        <v>82</v>
      </c>
      <c r="L25" s="371" t="s">
        <v>1085</v>
      </c>
      <c r="M25" s="372" t="s">
        <v>3164</v>
      </c>
      <c r="N25" s="373" t="s">
        <v>1086</v>
      </c>
      <c r="O25" s="374" t="s">
        <v>1085</v>
      </c>
      <c r="P25" s="374" t="s">
        <v>3166</v>
      </c>
    </row>
    <row r="26" spans="1:16" ht="12.75">
      <c r="A26">
        <v>19</v>
      </c>
      <c r="B26" s="557" t="s">
        <v>2809</v>
      </c>
      <c r="C26" t="s">
        <v>4356</v>
      </c>
      <c r="D26" s="107" t="s">
        <v>2807</v>
      </c>
      <c r="E26" s="540">
        <v>11244121</v>
      </c>
      <c r="F26" s="556">
        <v>11270</v>
      </c>
      <c r="G26" s="541">
        <v>1</v>
      </c>
      <c r="H26" s="560">
        <v>0.95</v>
      </c>
      <c r="I26" s="107">
        <v>256</v>
      </c>
      <c r="K26" s="370">
        <v>100</v>
      </c>
      <c r="L26" s="371" t="s">
        <v>1087</v>
      </c>
      <c r="M26" s="372" t="s">
        <v>3164</v>
      </c>
      <c r="N26" s="373" t="s">
        <v>1088</v>
      </c>
      <c r="O26" s="374" t="s">
        <v>1087</v>
      </c>
      <c r="P26" s="374" t="s">
        <v>3166</v>
      </c>
    </row>
    <row r="27" spans="1:16" ht="12.75">
      <c r="A27">
        <v>20</v>
      </c>
      <c r="B27" s="557">
        <v>1</v>
      </c>
      <c r="C27" t="s">
        <v>4357</v>
      </c>
      <c r="D27" s="107" t="s">
        <v>1771</v>
      </c>
      <c r="E27" s="540">
        <v>277996</v>
      </c>
      <c r="F27" s="556">
        <v>10136</v>
      </c>
      <c r="G27" s="541">
        <v>36.46</v>
      </c>
      <c r="H27" s="560">
        <v>0.85</v>
      </c>
      <c r="I27" s="107">
        <v>229</v>
      </c>
      <c r="K27" s="370">
        <v>101</v>
      </c>
      <c r="L27" s="371" t="s">
        <v>1089</v>
      </c>
      <c r="M27" s="372" t="s">
        <v>3164</v>
      </c>
      <c r="N27" s="373" t="s">
        <v>1090</v>
      </c>
      <c r="O27" s="374" t="s">
        <v>1089</v>
      </c>
      <c r="P27" s="374" t="s">
        <v>3166</v>
      </c>
    </row>
    <row r="28" spans="1:16" ht="12.75">
      <c r="A28">
        <v>21</v>
      </c>
      <c r="B28" s="557" t="s">
        <v>4227</v>
      </c>
      <c r="C28" t="s">
        <v>4358</v>
      </c>
      <c r="D28" s="107" t="s">
        <v>3416</v>
      </c>
      <c r="E28" s="540">
        <v>239920</v>
      </c>
      <c r="F28" s="556">
        <v>9417</v>
      </c>
      <c r="G28" s="541">
        <v>39.25</v>
      </c>
      <c r="H28" s="560">
        <v>0.79</v>
      </c>
      <c r="I28" s="107">
        <v>2</v>
      </c>
      <c r="K28" s="370">
        <v>102</v>
      </c>
      <c r="L28" s="371" t="s">
        <v>1091</v>
      </c>
      <c r="M28" s="372" t="s">
        <v>3164</v>
      </c>
      <c r="N28" s="373" t="s">
        <v>1092</v>
      </c>
      <c r="O28" s="374" t="s">
        <v>1091</v>
      </c>
      <c r="P28" s="374" t="s">
        <v>3166</v>
      </c>
    </row>
    <row r="29" spans="1:16" ht="12.75">
      <c r="A29">
        <v>22</v>
      </c>
      <c r="B29" s="557">
        <v>2545</v>
      </c>
      <c r="C29" t="s">
        <v>4359</v>
      </c>
      <c r="D29" s="107" t="s">
        <v>2441</v>
      </c>
      <c r="E29" s="540">
        <v>73</v>
      </c>
      <c r="F29" s="556">
        <v>9232</v>
      </c>
      <c r="G29" s="541">
        <v>126465</v>
      </c>
      <c r="H29" s="560">
        <v>0.77</v>
      </c>
      <c r="I29" s="107">
        <v>73</v>
      </c>
      <c r="K29" s="370">
        <v>103</v>
      </c>
      <c r="L29" s="371" t="s">
        <v>1093</v>
      </c>
      <c r="M29" s="372" t="s">
        <v>3164</v>
      </c>
      <c r="N29" s="373" t="s">
        <v>1094</v>
      </c>
      <c r="O29" s="374" t="s">
        <v>1093</v>
      </c>
      <c r="P29" s="374" t="s">
        <v>3166</v>
      </c>
    </row>
    <row r="30" spans="1:16" ht="12.75">
      <c r="A30">
        <v>23</v>
      </c>
      <c r="B30" s="557">
        <v>307</v>
      </c>
      <c r="C30" t="s">
        <v>4360</v>
      </c>
      <c r="D30" s="107" t="s">
        <v>1771</v>
      </c>
      <c r="E30" s="540">
        <v>83677</v>
      </c>
      <c r="F30" s="556">
        <v>8580</v>
      </c>
      <c r="G30" s="541">
        <v>102.54</v>
      </c>
      <c r="H30" s="560">
        <v>0.72</v>
      </c>
      <c r="I30" s="107">
        <v>37</v>
      </c>
      <c r="K30" s="370">
        <v>190</v>
      </c>
      <c r="L30" s="371" t="s">
        <v>1095</v>
      </c>
      <c r="M30" s="372" t="s">
        <v>3164</v>
      </c>
      <c r="N30" s="373" t="s">
        <v>1096</v>
      </c>
      <c r="O30" s="374" t="s">
        <v>1095</v>
      </c>
      <c r="P30" s="374" t="s">
        <v>3166</v>
      </c>
    </row>
    <row r="31" spans="1:16" ht="12.75">
      <c r="A31">
        <v>24</v>
      </c>
      <c r="B31" s="557" t="s">
        <v>995</v>
      </c>
      <c r="C31" t="s">
        <v>4361</v>
      </c>
      <c r="D31" s="107" t="s">
        <v>2439</v>
      </c>
      <c r="E31" s="540">
        <v>234684</v>
      </c>
      <c r="F31" s="556">
        <v>8320</v>
      </c>
      <c r="G31" s="541">
        <v>35.45</v>
      </c>
      <c r="H31" s="560">
        <v>0.7</v>
      </c>
      <c r="I31" s="107">
        <v>50</v>
      </c>
      <c r="K31" s="370">
        <v>191</v>
      </c>
      <c r="L31" s="371" t="s">
        <v>1097</v>
      </c>
      <c r="M31" s="372" t="s">
        <v>3164</v>
      </c>
      <c r="N31" s="373" t="s">
        <v>1098</v>
      </c>
      <c r="O31" s="374" t="s">
        <v>1097</v>
      </c>
      <c r="P31" s="374" t="s">
        <v>3166</v>
      </c>
    </row>
    <row r="32" spans="1:16" ht="12.75">
      <c r="A32">
        <v>25</v>
      </c>
      <c r="B32" s="557">
        <v>335</v>
      </c>
      <c r="C32" t="s">
        <v>4362</v>
      </c>
      <c r="D32" s="107" t="s">
        <v>1771</v>
      </c>
      <c r="E32" s="540">
        <v>73665</v>
      </c>
      <c r="F32" s="556">
        <v>8214</v>
      </c>
      <c r="G32" s="541">
        <v>111.5</v>
      </c>
      <c r="H32" s="560">
        <v>0.69</v>
      </c>
      <c r="I32" s="107">
        <v>5</v>
      </c>
      <c r="K32" s="370">
        <v>192</v>
      </c>
      <c r="L32" s="371" t="s">
        <v>1099</v>
      </c>
      <c r="M32" s="372" t="s">
        <v>3164</v>
      </c>
      <c r="N32" s="373" t="s">
        <v>1100</v>
      </c>
      <c r="O32" s="374" t="s">
        <v>1099</v>
      </c>
      <c r="P32" s="374" t="s">
        <v>3166</v>
      </c>
    </row>
    <row r="33" spans="1:16" ht="12.75">
      <c r="A33">
        <v>26</v>
      </c>
      <c r="B33" s="557">
        <v>8151</v>
      </c>
      <c r="C33" t="s">
        <v>4363</v>
      </c>
      <c r="D33" s="107" t="s">
        <v>2443</v>
      </c>
      <c r="E33" s="540">
        <v>4539232</v>
      </c>
      <c r="F33" s="556">
        <v>7974</v>
      </c>
      <c r="G33" s="541">
        <v>1.76</v>
      </c>
      <c r="H33" s="560">
        <v>0.67</v>
      </c>
      <c r="I33" s="107">
        <v>38</v>
      </c>
      <c r="K33" s="370">
        <v>193</v>
      </c>
      <c r="L33" s="371" t="s">
        <v>1101</v>
      </c>
      <c r="M33" s="372" t="s">
        <v>3164</v>
      </c>
      <c r="N33" s="373" t="s">
        <v>1102</v>
      </c>
      <c r="O33" s="374" t="s">
        <v>1101</v>
      </c>
      <c r="P33" s="374" t="s">
        <v>3166</v>
      </c>
    </row>
    <row r="34" spans="1:14" ht="12.75">
      <c r="A34">
        <v>27</v>
      </c>
      <c r="B34" s="557">
        <v>6521</v>
      </c>
      <c r="C34" t="s">
        <v>4364</v>
      </c>
      <c r="D34" s="107" t="s">
        <v>3418</v>
      </c>
      <c r="E34" s="540">
        <v>13929</v>
      </c>
      <c r="F34" s="556">
        <v>7937</v>
      </c>
      <c r="G34" s="541">
        <v>569.84</v>
      </c>
      <c r="H34" s="560">
        <v>0.67</v>
      </c>
      <c r="I34" s="107">
        <v>13</v>
      </c>
      <c r="K34" s="370">
        <v>194</v>
      </c>
      <c r="L34" s="371" t="s">
        <v>1103</v>
      </c>
      <c r="M34" s="372" t="s">
        <v>3164</v>
      </c>
      <c r="N34" s="375"/>
    </row>
    <row r="35" spans="1:14" ht="12.75">
      <c r="A35">
        <v>28</v>
      </c>
      <c r="B35" s="557">
        <v>78</v>
      </c>
      <c r="C35" t="s">
        <v>4365</v>
      </c>
      <c r="D35" s="107" t="s">
        <v>1771</v>
      </c>
      <c r="E35" s="540">
        <v>259690</v>
      </c>
      <c r="F35" s="556">
        <v>7869</v>
      </c>
      <c r="G35" s="541">
        <v>30.3</v>
      </c>
      <c r="H35" s="560">
        <v>0.66</v>
      </c>
      <c r="I35" s="107">
        <v>62</v>
      </c>
      <c r="K35" s="370">
        <v>195</v>
      </c>
      <c r="L35" s="371" t="s">
        <v>1104</v>
      </c>
      <c r="M35" s="372" t="s">
        <v>3164</v>
      </c>
      <c r="N35" s="373"/>
    </row>
    <row r="36" spans="1:16" ht="12.75">
      <c r="A36">
        <v>29</v>
      </c>
      <c r="B36" s="557">
        <v>6542</v>
      </c>
      <c r="C36" t="s">
        <v>4366</v>
      </c>
      <c r="D36" s="107" t="s">
        <v>2439</v>
      </c>
      <c r="E36" s="540">
        <v>6311853</v>
      </c>
      <c r="F36" s="556">
        <v>7679</v>
      </c>
      <c r="G36" s="541">
        <v>1.22</v>
      </c>
      <c r="H36" s="560">
        <v>0.64</v>
      </c>
      <c r="I36" s="107">
        <v>162</v>
      </c>
      <c r="K36" s="370">
        <v>199</v>
      </c>
      <c r="L36" s="371" t="s">
        <v>3328</v>
      </c>
      <c r="M36" s="372" t="s">
        <v>3164</v>
      </c>
      <c r="N36" s="373" t="s">
        <v>3329</v>
      </c>
      <c r="O36" s="374" t="s">
        <v>3328</v>
      </c>
      <c r="P36" s="374" t="s">
        <v>3166</v>
      </c>
    </row>
    <row r="37" spans="1:16" ht="12.75">
      <c r="A37">
        <v>30</v>
      </c>
      <c r="B37" s="557" t="s">
        <v>839</v>
      </c>
      <c r="C37" t="s">
        <v>4367</v>
      </c>
      <c r="D37" s="107" t="s">
        <v>1771</v>
      </c>
      <c r="E37" s="540">
        <v>73239</v>
      </c>
      <c r="F37" s="556">
        <v>7447</v>
      </c>
      <c r="G37" s="541">
        <v>101.69</v>
      </c>
      <c r="H37" s="560">
        <v>0.62</v>
      </c>
      <c r="I37" s="107">
        <v>18</v>
      </c>
      <c r="K37" s="370">
        <v>200</v>
      </c>
      <c r="L37" s="371" t="s">
        <v>3330</v>
      </c>
      <c r="M37" s="372" t="s">
        <v>3164</v>
      </c>
      <c r="N37" s="373" t="s">
        <v>3331</v>
      </c>
      <c r="O37" s="374" t="s">
        <v>3330</v>
      </c>
      <c r="P37" s="374" t="s">
        <v>3166</v>
      </c>
    </row>
    <row r="38" spans="1:16" ht="12.75">
      <c r="A38">
        <v>31</v>
      </c>
      <c r="B38" s="557">
        <v>8150</v>
      </c>
      <c r="C38" t="s">
        <v>2605</v>
      </c>
      <c r="D38" s="107" t="s">
        <v>2443</v>
      </c>
      <c r="E38" s="540">
        <v>4317061</v>
      </c>
      <c r="F38" s="556">
        <v>7329</v>
      </c>
      <c r="G38" s="541">
        <v>1.7</v>
      </c>
      <c r="H38" s="560">
        <v>0.61</v>
      </c>
      <c r="I38" s="107">
        <v>60</v>
      </c>
      <c r="K38" s="370">
        <v>201</v>
      </c>
      <c r="L38" s="371" t="s">
        <v>3332</v>
      </c>
      <c r="M38" s="372" t="s">
        <v>3164</v>
      </c>
      <c r="N38" s="373" t="s">
        <v>3333</v>
      </c>
      <c r="O38" s="374" t="s">
        <v>3332</v>
      </c>
      <c r="P38" s="374" t="s">
        <v>3166</v>
      </c>
    </row>
    <row r="39" spans="1:16" ht="12.75">
      <c r="A39">
        <v>32</v>
      </c>
      <c r="B39" s="557" t="s">
        <v>2808</v>
      </c>
      <c r="C39" t="s">
        <v>4368</v>
      </c>
      <c r="D39" s="107" t="s">
        <v>2807</v>
      </c>
      <c r="E39" s="540">
        <v>7235993</v>
      </c>
      <c r="F39" s="556">
        <v>7246</v>
      </c>
      <c r="G39" s="541">
        <v>1</v>
      </c>
      <c r="H39" s="560">
        <v>0.61</v>
      </c>
      <c r="I39" s="107">
        <v>259</v>
      </c>
      <c r="K39" s="370">
        <v>202</v>
      </c>
      <c r="L39" s="371" t="s">
        <v>3334</v>
      </c>
      <c r="M39" s="372" t="s">
        <v>3164</v>
      </c>
      <c r="N39" s="373" t="s">
        <v>3335</v>
      </c>
      <c r="O39" s="374" t="s">
        <v>3336</v>
      </c>
      <c r="P39" s="374" t="s">
        <v>3166</v>
      </c>
    </row>
    <row r="40" spans="1:16" ht="12.75">
      <c r="A40">
        <v>33</v>
      </c>
      <c r="B40" s="557" t="s">
        <v>4076</v>
      </c>
      <c r="C40" t="s">
        <v>4369</v>
      </c>
      <c r="D40" s="107" t="s">
        <v>1771</v>
      </c>
      <c r="E40" s="540">
        <v>73794</v>
      </c>
      <c r="F40" s="556">
        <v>7159</v>
      </c>
      <c r="G40" s="541">
        <v>97.01</v>
      </c>
      <c r="H40" s="560">
        <v>0.6</v>
      </c>
      <c r="I40" s="107">
        <v>34</v>
      </c>
      <c r="K40" s="370">
        <v>203</v>
      </c>
      <c r="L40" s="371" t="s">
        <v>3322</v>
      </c>
      <c r="M40" s="372" t="s">
        <v>3164</v>
      </c>
      <c r="N40" s="373" t="s">
        <v>3323</v>
      </c>
      <c r="O40" s="374" t="s">
        <v>3324</v>
      </c>
      <c r="P40" s="374" t="s">
        <v>3166</v>
      </c>
    </row>
    <row r="41" spans="1:16" ht="12.75">
      <c r="A41">
        <v>34</v>
      </c>
      <c r="B41" s="557">
        <v>3171</v>
      </c>
      <c r="C41" t="s">
        <v>4370</v>
      </c>
      <c r="D41" s="107" t="s">
        <v>2439</v>
      </c>
      <c r="E41" s="540">
        <v>207915</v>
      </c>
      <c r="F41" s="556">
        <v>7035</v>
      </c>
      <c r="G41" s="541">
        <v>33.83</v>
      </c>
      <c r="H41" s="560">
        <v>0.59</v>
      </c>
      <c r="I41" s="107">
        <v>29</v>
      </c>
      <c r="K41" s="370">
        <v>204</v>
      </c>
      <c r="L41" s="371" t="s">
        <v>3325</v>
      </c>
      <c r="M41" s="372" t="s">
        <v>3164</v>
      </c>
      <c r="N41" s="373" t="s">
        <v>3326</v>
      </c>
      <c r="O41" s="374" t="s">
        <v>3327</v>
      </c>
      <c r="P41" s="374" t="s">
        <v>3166</v>
      </c>
    </row>
    <row r="42" spans="1:16" ht="12.75">
      <c r="A42">
        <v>35</v>
      </c>
      <c r="B42" s="557">
        <v>6543</v>
      </c>
      <c r="C42" t="s">
        <v>4371</v>
      </c>
      <c r="D42" s="107" t="s">
        <v>2439</v>
      </c>
      <c r="E42">
        <v>5014111</v>
      </c>
      <c r="F42" s="556">
        <v>6090</v>
      </c>
      <c r="G42" s="541">
        <v>1.21</v>
      </c>
      <c r="H42" s="560">
        <v>0.51</v>
      </c>
      <c r="I42" s="107">
        <v>159</v>
      </c>
      <c r="K42" s="370">
        <v>205</v>
      </c>
      <c r="L42" s="371" t="s">
        <v>1530</v>
      </c>
      <c r="M42" s="372" t="s">
        <v>3164</v>
      </c>
      <c r="N42" s="373" t="s">
        <v>1531</v>
      </c>
      <c r="O42" s="374" t="s">
        <v>1532</v>
      </c>
      <c r="P42" s="374" t="s">
        <v>3166</v>
      </c>
    </row>
    <row r="43" spans="1:16" ht="12.75">
      <c r="A43">
        <v>36</v>
      </c>
      <c r="B43" s="557">
        <v>2726</v>
      </c>
      <c r="C43" t="s">
        <v>4372</v>
      </c>
      <c r="D43" s="107" t="s">
        <v>2441</v>
      </c>
      <c r="E43" s="540">
        <v>127</v>
      </c>
      <c r="F43" s="556">
        <v>5900</v>
      </c>
      <c r="G43" s="541">
        <v>46458.77</v>
      </c>
      <c r="H43" s="560">
        <v>0.49</v>
      </c>
      <c r="I43" s="107">
        <v>127</v>
      </c>
      <c r="K43" s="370">
        <v>206</v>
      </c>
      <c r="L43" s="371" t="s">
        <v>1533</v>
      </c>
      <c r="M43" s="372" t="s">
        <v>3164</v>
      </c>
      <c r="N43" s="373" t="s">
        <v>1534</v>
      </c>
      <c r="O43" s="374" t="s">
        <v>1535</v>
      </c>
      <c r="P43" s="374" t="s">
        <v>3166</v>
      </c>
    </row>
    <row r="44" spans="1:16" ht="12.75">
      <c r="A44">
        <v>37</v>
      </c>
      <c r="B44" s="557">
        <v>339</v>
      </c>
      <c r="C44" t="s">
        <v>4373</v>
      </c>
      <c r="D44" s="107" t="s">
        <v>1771</v>
      </c>
      <c r="E44" s="540">
        <v>56092</v>
      </c>
      <c r="F44" s="556">
        <v>5396</v>
      </c>
      <c r="G44" s="541">
        <v>96.2</v>
      </c>
      <c r="H44" s="560">
        <v>0.45</v>
      </c>
      <c r="I44" s="107">
        <v>16</v>
      </c>
      <c r="K44" s="370">
        <v>207</v>
      </c>
      <c r="L44" s="371" t="s">
        <v>1536</v>
      </c>
      <c r="M44" s="372" t="s">
        <v>3164</v>
      </c>
      <c r="N44" s="373" t="s">
        <v>1537</v>
      </c>
      <c r="O44" s="374" t="s">
        <v>1538</v>
      </c>
      <c r="P44" s="374" t="s">
        <v>3166</v>
      </c>
    </row>
    <row r="45" spans="1:16" ht="12.75">
      <c r="A45">
        <v>38</v>
      </c>
      <c r="B45" s="557">
        <v>217</v>
      </c>
      <c r="C45" t="s">
        <v>4374</v>
      </c>
      <c r="D45" s="107" t="s">
        <v>1771</v>
      </c>
      <c r="E45" s="540">
        <v>70883</v>
      </c>
      <c r="F45" s="556">
        <v>5363</v>
      </c>
      <c r="G45" s="541">
        <v>75.66</v>
      </c>
      <c r="H45" s="560">
        <v>0.45</v>
      </c>
      <c r="I45" s="107">
        <v>4</v>
      </c>
      <c r="K45" s="370">
        <v>208</v>
      </c>
      <c r="L45" s="371" t="s">
        <v>1539</v>
      </c>
      <c r="M45" s="372" t="s">
        <v>3164</v>
      </c>
      <c r="N45" s="373" t="s">
        <v>1540</v>
      </c>
      <c r="O45" s="374" t="s">
        <v>1541</v>
      </c>
      <c r="P45" s="374" t="s">
        <v>3166</v>
      </c>
    </row>
    <row r="46" spans="1:16" ht="12.75">
      <c r="A46">
        <v>39</v>
      </c>
      <c r="B46" s="557">
        <v>3234</v>
      </c>
      <c r="C46" t="s">
        <v>4375</v>
      </c>
      <c r="D46" s="107" t="s">
        <v>2439</v>
      </c>
      <c r="E46" s="540">
        <v>207106</v>
      </c>
      <c r="F46" s="556">
        <v>5282</v>
      </c>
      <c r="G46" s="541">
        <v>25.5</v>
      </c>
      <c r="H46" s="560">
        <v>0.44</v>
      </c>
      <c r="I46" s="107">
        <v>22</v>
      </c>
      <c r="K46" s="370">
        <v>209</v>
      </c>
      <c r="L46" s="371" t="s">
        <v>1542</v>
      </c>
      <c r="M46" s="372" t="s">
        <v>3164</v>
      </c>
      <c r="N46" s="373" t="s">
        <v>1543</v>
      </c>
      <c r="O46" s="374" t="s">
        <v>1544</v>
      </c>
      <c r="P46" s="374" t="s">
        <v>3166</v>
      </c>
    </row>
    <row r="47" spans="1:16" ht="12.75">
      <c r="A47">
        <v>40</v>
      </c>
      <c r="B47" s="557" t="s">
        <v>3994</v>
      </c>
      <c r="C47" t="s">
        <v>4376</v>
      </c>
      <c r="D47" s="107" t="s">
        <v>1771</v>
      </c>
      <c r="E47" s="540">
        <v>49007</v>
      </c>
      <c r="F47" s="556">
        <v>5254</v>
      </c>
      <c r="G47" s="541">
        <v>107.21</v>
      </c>
      <c r="H47" s="560">
        <v>0.44</v>
      </c>
      <c r="I47" s="107">
        <v>14</v>
      </c>
      <c r="K47" s="370">
        <v>210</v>
      </c>
      <c r="L47" s="371" t="s">
        <v>1545</v>
      </c>
      <c r="M47" s="372" t="s">
        <v>3164</v>
      </c>
      <c r="N47" s="373" t="s">
        <v>1546</v>
      </c>
      <c r="O47" s="374" t="s">
        <v>1547</v>
      </c>
      <c r="P47" s="374" t="s">
        <v>3166</v>
      </c>
    </row>
    <row r="48" spans="1:16" ht="12.75">
      <c r="A48">
        <v>41</v>
      </c>
      <c r="B48" s="557">
        <v>324</v>
      </c>
      <c r="C48" t="s">
        <v>4377</v>
      </c>
      <c r="D48" s="107" t="s">
        <v>1771</v>
      </c>
      <c r="E48" s="540">
        <v>53253</v>
      </c>
      <c r="F48" s="556">
        <v>5128</v>
      </c>
      <c r="G48" s="541">
        <v>96.3</v>
      </c>
      <c r="H48" s="560">
        <v>0.43</v>
      </c>
      <c r="I48" s="107">
        <v>15</v>
      </c>
      <c r="K48" s="370">
        <v>211</v>
      </c>
      <c r="L48" s="371" t="s">
        <v>1548</v>
      </c>
      <c r="M48" s="372" t="s">
        <v>3164</v>
      </c>
      <c r="N48" s="373" t="s">
        <v>1549</v>
      </c>
      <c r="O48" s="374" t="s">
        <v>1550</v>
      </c>
      <c r="P48" s="374" t="s">
        <v>3166</v>
      </c>
    </row>
    <row r="49" spans="1:16" ht="12.75">
      <c r="A49">
        <v>42</v>
      </c>
      <c r="B49" s="557" t="s">
        <v>3485</v>
      </c>
      <c r="C49" t="s">
        <v>3486</v>
      </c>
      <c r="D49" s="107" t="s">
        <v>3418</v>
      </c>
      <c r="E49" s="540">
        <v>3712</v>
      </c>
      <c r="F49" s="556">
        <v>5100</v>
      </c>
      <c r="G49" s="541">
        <v>1373.79</v>
      </c>
      <c r="H49" s="560">
        <v>0.43</v>
      </c>
      <c r="I49" s="107">
        <v>11</v>
      </c>
      <c r="K49" s="370">
        <v>212</v>
      </c>
      <c r="L49" s="371" t="s">
        <v>1551</v>
      </c>
      <c r="M49" s="372" t="s">
        <v>3164</v>
      </c>
      <c r="N49" s="373" t="s">
        <v>1552</v>
      </c>
      <c r="O49" s="374" t="s">
        <v>1820</v>
      </c>
      <c r="P49" s="374" t="s">
        <v>3166</v>
      </c>
    </row>
    <row r="50" spans="1:16" ht="12.75">
      <c r="A50">
        <v>43</v>
      </c>
      <c r="B50" s="557">
        <v>3240</v>
      </c>
      <c r="C50" t="s">
        <v>4378</v>
      </c>
      <c r="D50" s="107" t="s">
        <v>1772</v>
      </c>
      <c r="E50" s="540">
        <v>65932</v>
      </c>
      <c r="F50" s="556">
        <v>4954</v>
      </c>
      <c r="G50" s="541">
        <v>75.14</v>
      </c>
      <c r="H50" s="560">
        <v>0.42</v>
      </c>
      <c r="I50" s="107">
        <v>123</v>
      </c>
      <c r="K50" s="370">
        <v>213</v>
      </c>
      <c r="L50" s="371" t="s">
        <v>1821</v>
      </c>
      <c r="M50" s="372" t="s">
        <v>3164</v>
      </c>
      <c r="N50" s="373" t="s">
        <v>1822</v>
      </c>
      <c r="O50" s="374" t="s">
        <v>1823</v>
      </c>
      <c r="P50" s="374" t="s">
        <v>3166</v>
      </c>
    </row>
    <row r="51" spans="1:16" ht="12.75">
      <c r="A51">
        <v>44</v>
      </c>
      <c r="B51" s="557">
        <v>216</v>
      </c>
      <c r="C51" t="s">
        <v>4379</v>
      </c>
      <c r="D51" s="107" t="s">
        <v>1771</v>
      </c>
      <c r="E51" s="540">
        <v>46923</v>
      </c>
      <c r="F51" s="556">
        <v>4752</v>
      </c>
      <c r="G51" s="541">
        <v>101.26</v>
      </c>
      <c r="H51" s="560">
        <v>0.4</v>
      </c>
      <c r="I51" s="107">
        <v>7</v>
      </c>
      <c r="K51" s="370">
        <v>214</v>
      </c>
      <c r="L51" s="371" t="s">
        <v>1824</v>
      </c>
      <c r="M51" s="372" t="s">
        <v>3164</v>
      </c>
      <c r="N51" s="373" t="s">
        <v>1825</v>
      </c>
      <c r="O51" s="374" t="s">
        <v>1826</v>
      </c>
      <c r="P51" s="374" t="s">
        <v>3166</v>
      </c>
    </row>
    <row r="52" spans="1:16" ht="12.75">
      <c r="A52">
        <v>45</v>
      </c>
      <c r="B52" s="557">
        <v>6520</v>
      </c>
      <c r="C52" t="s">
        <v>4380</v>
      </c>
      <c r="D52" s="107" t="s">
        <v>3418</v>
      </c>
      <c r="E52" s="540">
        <v>8741</v>
      </c>
      <c r="F52" s="556">
        <v>4617</v>
      </c>
      <c r="G52" s="541">
        <v>528.12</v>
      </c>
      <c r="H52" s="560">
        <v>0.39</v>
      </c>
      <c r="I52" s="107">
        <v>13</v>
      </c>
      <c r="K52" s="370">
        <v>215</v>
      </c>
      <c r="L52" s="371" t="s">
        <v>1827</v>
      </c>
      <c r="M52" s="372" t="s">
        <v>3164</v>
      </c>
      <c r="N52" s="373" t="s">
        <v>1828</v>
      </c>
      <c r="O52" s="374" t="s">
        <v>1829</v>
      </c>
      <c r="P52" s="374" t="s">
        <v>3166</v>
      </c>
    </row>
    <row r="53" spans="1:16" ht="12.75">
      <c r="A53">
        <v>46</v>
      </c>
      <c r="B53" s="557">
        <v>8039</v>
      </c>
      <c r="C53" t="s">
        <v>4381</v>
      </c>
      <c r="D53" s="107" t="s">
        <v>2439</v>
      </c>
      <c r="E53" s="540">
        <v>27115</v>
      </c>
      <c r="F53" s="556">
        <v>4501</v>
      </c>
      <c r="G53" s="541">
        <v>166</v>
      </c>
      <c r="H53" s="560">
        <v>0.38</v>
      </c>
      <c r="I53" s="107">
        <v>18</v>
      </c>
      <c r="K53" s="370">
        <v>216</v>
      </c>
      <c r="L53" s="371" t="s">
        <v>1830</v>
      </c>
      <c r="M53" s="372" t="s">
        <v>3164</v>
      </c>
      <c r="N53" s="373" t="s">
        <v>1831</v>
      </c>
      <c r="O53" s="374" t="s">
        <v>1832</v>
      </c>
      <c r="P53" s="374" t="s">
        <v>3166</v>
      </c>
    </row>
    <row r="54" spans="1:16" ht="12.75">
      <c r="A54">
        <v>47</v>
      </c>
      <c r="B54" s="557">
        <v>8534</v>
      </c>
      <c r="C54" t="s">
        <v>4382</v>
      </c>
      <c r="D54" s="107" t="s">
        <v>1773</v>
      </c>
      <c r="E54" s="540">
        <v>2606</v>
      </c>
      <c r="F54" s="556">
        <v>4405</v>
      </c>
      <c r="G54" s="541">
        <v>1690.47</v>
      </c>
      <c r="H54" s="560">
        <v>0.37</v>
      </c>
      <c r="I54" s="107">
        <v>16</v>
      </c>
      <c r="K54" s="370">
        <v>217</v>
      </c>
      <c r="L54" s="371" t="s">
        <v>1833</v>
      </c>
      <c r="M54" s="372" t="s">
        <v>3164</v>
      </c>
      <c r="N54" s="373" t="s">
        <v>1834</v>
      </c>
      <c r="O54" s="374" t="s">
        <v>1835</v>
      </c>
      <c r="P54" s="374" t="s">
        <v>3166</v>
      </c>
    </row>
    <row r="55" spans="1:16" ht="12.75">
      <c r="A55">
        <v>48</v>
      </c>
      <c r="B55" s="557">
        <v>14042</v>
      </c>
      <c r="C55" t="s">
        <v>4383</v>
      </c>
      <c r="D55" s="107" t="s">
        <v>2439</v>
      </c>
      <c r="E55" s="540">
        <v>8694</v>
      </c>
      <c r="F55" s="556">
        <v>4234</v>
      </c>
      <c r="G55" s="541">
        <v>487</v>
      </c>
      <c r="H55" s="560">
        <v>0.36</v>
      </c>
      <c r="I55" s="107">
        <v>1</v>
      </c>
      <c r="K55" s="370">
        <v>218</v>
      </c>
      <c r="L55" s="371" t="s">
        <v>1836</v>
      </c>
      <c r="M55" s="372" t="s">
        <v>3164</v>
      </c>
      <c r="N55" s="373" t="s">
        <v>1837</v>
      </c>
      <c r="O55" s="374" t="s">
        <v>1838</v>
      </c>
      <c r="P55" s="374" t="s">
        <v>3166</v>
      </c>
    </row>
    <row r="56" spans="1:16" ht="12.75">
      <c r="A56">
        <v>49</v>
      </c>
      <c r="B56" s="557">
        <v>193</v>
      </c>
      <c r="C56" t="s">
        <v>4384</v>
      </c>
      <c r="D56" s="107" t="s">
        <v>1771</v>
      </c>
      <c r="E56">
        <v>37068</v>
      </c>
      <c r="F56" s="556">
        <v>4142</v>
      </c>
      <c r="G56" s="541">
        <v>111.74</v>
      </c>
      <c r="H56" s="560">
        <v>0.35</v>
      </c>
      <c r="I56" s="107">
        <v>7</v>
      </c>
      <c r="K56" s="370">
        <v>219</v>
      </c>
      <c r="L56" s="371" t="s">
        <v>1839</v>
      </c>
      <c r="M56" s="372" t="s">
        <v>3164</v>
      </c>
      <c r="N56" s="373" t="s">
        <v>1840</v>
      </c>
      <c r="O56" s="374" t="s">
        <v>1841</v>
      </c>
      <c r="P56" s="374" t="s">
        <v>3166</v>
      </c>
    </row>
    <row r="57" spans="1:16" ht="12.75">
      <c r="A57">
        <v>50</v>
      </c>
      <c r="B57" s="557" t="s">
        <v>3487</v>
      </c>
      <c r="C57" t="s">
        <v>3488</v>
      </c>
      <c r="D57" s="107" t="s">
        <v>3418</v>
      </c>
      <c r="E57" s="540">
        <v>2796</v>
      </c>
      <c r="F57" s="556">
        <v>4119</v>
      </c>
      <c r="G57" s="541">
        <v>1473.24</v>
      </c>
      <c r="H57" s="560">
        <v>0.35</v>
      </c>
      <c r="I57" s="107">
        <v>11</v>
      </c>
      <c r="K57" s="370">
        <v>220</v>
      </c>
      <c r="L57" s="371" t="s">
        <v>1842</v>
      </c>
      <c r="M57" s="372" t="s">
        <v>3164</v>
      </c>
      <c r="N57" s="373" t="s">
        <v>1843</v>
      </c>
      <c r="O57" s="374" t="s">
        <v>1844</v>
      </c>
      <c r="P57" s="374" t="s">
        <v>3166</v>
      </c>
    </row>
    <row r="58" spans="1:16" ht="12.75">
      <c r="A58">
        <v>51</v>
      </c>
      <c r="B58" s="557">
        <v>2602</v>
      </c>
      <c r="C58" t="s">
        <v>4385</v>
      </c>
      <c r="D58" s="107" t="s">
        <v>1772</v>
      </c>
      <c r="E58" s="540">
        <v>1804789</v>
      </c>
      <c r="F58" s="556">
        <v>4044</v>
      </c>
      <c r="G58" s="541">
        <v>2.24</v>
      </c>
      <c r="H58" s="560">
        <v>0.34</v>
      </c>
      <c r="I58" s="107">
        <v>62</v>
      </c>
      <c r="K58" s="370">
        <v>221</v>
      </c>
      <c r="L58" s="371" t="s">
        <v>1845</v>
      </c>
      <c r="M58" s="372" t="s">
        <v>3164</v>
      </c>
      <c r="N58" s="373" t="s">
        <v>1846</v>
      </c>
      <c r="O58" s="374" t="s">
        <v>1847</v>
      </c>
      <c r="P58" s="374" t="s">
        <v>3166</v>
      </c>
    </row>
    <row r="59" spans="1:16" ht="12.75">
      <c r="A59">
        <v>52</v>
      </c>
      <c r="B59" s="557" t="s">
        <v>4121</v>
      </c>
      <c r="C59" t="s">
        <v>4386</v>
      </c>
      <c r="D59" s="107" t="s">
        <v>1771</v>
      </c>
      <c r="E59">
        <v>8102</v>
      </c>
      <c r="F59" s="556">
        <v>4037</v>
      </c>
      <c r="G59" s="541">
        <v>498.31</v>
      </c>
      <c r="H59" s="560">
        <v>0.34</v>
      </c>
      <c r="I59" s="107">
        <v>277</v>
      </c>
      <c r="K59" s="370">
        <v>222</v>
      </c>
      <c r="L59" s="371" t="s">
        <v>1848</v>
      </c>
      <c r="M59" s="372" t="s">
        <v>3164</v>
      </c>
      <c r="N59" s="373" t="s">
        <v>1849</v>
      </c>
      <c r="O59" s="374" t="s">
        <v>647</v>
      </c>
      <c r="P59" s="374" t="s">
        <v>3166</v>
      </c>
    </row>
    <row r="60" spans="1:16" ht="12.75">
      <c r="A60">
        <v>53</v>
      </c>
      <c r="B60" s="557">
        <v>8635</v>
      </c>
      <c r="C60" t="s">
        <v>4387</v>
      </c>
      <c r="D60" s="107" t="s">
        <v>2439</v>
      </c>
      <c r="E60" s="540">
        <v>5710</v>
      </c>
      <c r="F60" s="556">
        <v>3971</v>
      </c>
      <c r="G60" s="541">
        <v>695.44</v>
      </c>
      <c r="H60" s="560">
        <v>0.33</v>
      </c>
      <c r="I60" s="107">
        <v>2</v>
      </c>
      <c r="K60" s="370">
        <v>223</v>
      </c>
      <c r="L60" s="371" t="s">
        <v>648</v>
      </c>
      <c r="M60" s="372" t="s">
        <v>3164</v>
      </c>
      <c r="N60" s="373" t="s">
        <v>649</v>
      </c>
      <c r="O60" s="374" t="s">
        <v>650</v>
      </c>
      <c r="P60" s="374" t="s">
        <v>3166</v>
      </c>
    </row>
    <row r="61" spans="1:16" ht="12.75">
      <c r="A61">
        <v>54</v>
      </c>
      <c r="B61" s="557">
        <v>336</v>
      </c>
      <c r="C61" t="s">
        <v>4388</v>
      </c>
      <c r="D61" s="107" t="s">
        <v>1771</v>
      </c>
      <c r="E61" s="540">
        <v>29959</v>
      </c>
      <c r="F61" s="556">
        <v>3746</v>
      </c>
      <c r="G61" s="541">
        <v>125.03</v>
      </c>
      <c r="H61" s="560">
        <v>0.31</v>
      </c>
      <c r="I61" s="107">
        <v>6</v>
      </c>
      <c r="K61" s="370">
        <v>224</v>
      </c>
      <c r="L61" s="371" t="s">
        <v>651</v>
      </c>
      <c r="M61" s="372" t="s">
        <v>3164</v>
      </c>
      <c r="N61" s="373" t="s">
        <v>652</v>
      </c>
      <c r="O61" s="374" t="s">
        <v>653</v>
      </c>
      <c r="P61" s="374" t="s">
        <v>3166</v>
      </c>
    </row>
    <row r="62" spans="1:16" ht="12.75">
      <c r="A62">
        <v>55</v>
      </c>
      <c r="B62" s="557">
        <v>2575</v>
      </c>
      <c r="C62" t="s">
        <v>4389</v>
      </c>
      <c r="D62" s="107" t="s">
        <v>2439</v>
      </c>
      <c r="E62" s="540">
        <v>680049</v>
      </c>
      <c r="F62" s="556">
        <v>3691</v>
      </c>
      <c r="G62" s="541">
        <v>5.43</v>
      </c>
      <c r="H62" s="560">
        <v>0.31</v>
      </c>
      <c r="I62" s="107">
        <v>30</v>
      </c>
      <c r="K62" s="370">
        <v>225</v>
      </c>
      <c r="L62" s="371" t="s">
        <v>885</v>
      </c>
      <c r="M62" s="372" t="s">
        <v>3164</v>
      </c>
      <c r="N62" s="373" t="s">
        <v>886</v>
      </c>
      <c r="O62" s="374" t="s">
        <v>887</v>
      </c>
      <c r="P62" s="374" t="s">
        <v>3166</v>
      </c>
    </row>
    <row r="63" spans="1:16" ht="12.75">
      <c r="A63">
        <v>56</v>
      </c>
      <c r="B63" s="557">
        <v>6515</v>
      </c>
      <c r="C63" t="s">
        <v>4390</v>
      </c>
      <c r="D63" s="107" t="s">
        <v>2439</v>
      </c>
      <c r="E63" s="540">
        <v>11770525</v>
      </c>
      <c r="F63" s="556">
        <v>3643</v>
      </c>
      <c r="G63" s="541">
        <v>0.31</v>
      </c>
      <c r="H63" s="560">
        <v>0.31</v>
      </c>
      <c r="I63" s="107">
        <v>207</v>
      </c>
      <c r="K63" s="370">
        <v>226</v>
      </c>
      <c r="L63" s="371" t="s">
        <v>888</v>
      </c>
      <c r="M63" s="372" t="s">
        <v>3164</v>
      </c>
      <c r="N63" s="373" t="s">
        <v>889</v>
      </c>
      <c r="O63" s="374" t="s">
        <v>890</v>
      </c>
      <c r="P63" s="374" t="s">
        <v>3166</v>
      </c>
    </row>
    <row r="64" spans="1:16" ht="12.75">
      <c r="A64">
        <v>57</v>
      </c>
      <c r="B64" s="557">
        <v>2720</v>
      </c>
      <c r="C64" t="s">
        <v>4391</v>
      </c>
      <c r="D64" s="107" t="s">
        <v>1772</v>
      </c>
      <c r="E64" s="540">
        <v>39922</v>
      </c>
      <c r="F64" s="556">
        <v>3467</v>
      </c>
      <c r="G64" s="541">
        <v>86.83</v>
      </c>
      <c r="H64" s="560">
        <v>0.29</v>
      </c>
      <c r="I64" s="107">
        <v>70</v>
      </c>
      <c r="K64" s="370">
        <v>227</v>
      </c>
      <c r="L64" s="371" t="s">
        <v>891</v>
      </c>
      <c r="M64" s="372" t="s">
        <v>3164</v>
      </c>
      <c r="N64" s="373" t="s">
        <v>892</v>
      </c>
      <c r="O64" s="374" t="s">
        <v>893</v>
      </c>
      <c r="P64" s="374" t="s">
        <v>3166</v>
      </c>
    </row>
    <row r="65" spans="1:16" ht="12.75">
      <c r="A65">
        <v>58</v>
      </c>
      <c r="B65" s="557">
        <v>1456</v>
      </c>
      <c r="C65" t="s">
        <v>4392</v>
      </c>
      <c r="D65" s="107" t="s">
        <v>2522</v>
      </c>
      <c r="E65" s="540">
        <v>432</v>
      </c>
      <c r="F65" s="556">
        <v>3266</v>
      </c>
      <c r="G65" s="541">
        <v>7560.11</v>
      </c>
      <c r="H65" s="560">
        <v>0.27</v>
      </c>
      <c r="I65" s="107">
        <v>13</v>
      </c>
      <c r="K65" s="370">
        <v>228</v>
      </c>
      <c r="L65" s="371" t="s">
        <v>894</v>
      </c>
      <c r="M65" s="372" t="s">
        <v>3164</v>
      </c>
      <c r="N65" s="373" t="s">
        <v>895</v>
      </c>
      <c r="O65" s="374" t="s">
        <v>896</v>
      </c>
      <c r="P65" s="374" t="s">
        <v>3166</v>
      </c>
    </row>
    <row r="66" spans="1:14" ht="12.75">
      <c r="A66">
        <v>59</v>
      </c>
      <c r="B66" s="557">
        <v>2731</v>
      </c>
      <c r="C66" t="s">
        <v>4393</v>
      </c>
      <c r="D66" s="107" t="s">
        <v>2441</v>
      </c>
      <c r="E66">
        <v>35</v>
      </c>
      <c r="F66" s="556">
        <v>3248</v>
      </c>
      <c r="G66" s="541">
        <v>92791.32</v>
      </c>
      <c r="H66" s="560">
        <v>0.27</v>
      </c>
      <c r="I66" s="107">
        <v>35</v>
      </c>
      <c r="K66" s="370">
        <v>229</v>
      </c>
      <c r="L66" s="371" t="s">
        <v>897</v>
      </c>
      <c r="M66" s="372" t="s">
        <v>3164</v>
      </c>
      <c r="N66" s="373"/>
    </row>
    <row r="67" spans="1:14" ht="12.75">
      <c r="A67">
        <v>60</v>
      </c>
      <c r="B67" s="557">
        <v>2483</v>
      </c>
      <c r="C67" t="s">
        <v>4394</v>
      </c>
      <c r="D67" s="107" t="s">
        <v>1771</v>
      </c>
      <c r="E67" s="540">
        <v>66151</v>
      </c>
      <c r="F67" s="556">
        <v>3192</v>
      </c>
      <c r="G67" s="541">
        <v>48.25</v>
      </c>
      <c r="H67" s="560">
        <v>0.27</v>
      </c>
      <c r="I67" s="107">
        <v>71</v>
      </c>
      <c r="K67" s="370">
        <v>230</v>
      </c>
      <c r="L67" s="371" t="s">
        <v>898</v>
      </c>
      <c r="M67" s="372" t="s">
        <v>3164</v>
      </c>
      <c r="N67" s="373"/>
    </row>
    <row r="68" spans="1:16" ht="12.75">
      <c r="A68">
        <v>61</v>
      </c>
      <c r="B68" s="557">
        <v>8003</v>
      </c>
      <c r="C68" t="s">
        <v>2436</v>
      </c>
      <c r="D68" s="107" t="s">
        <v>2441</v>
      </c>
      <c r="E68" s="540">
        <v>46</v>
      </c>
      <c r="F68" s="556">
        <v>3170</v>
      </c>
      <c r="G68" s="541">
        <v>68906.76</v>
      </c>
      <c r="H68" s="560">
        <v>0.27</v>
      </c>
      <c r="I68" s="107">
        <v>46</v>
      </c>
      <c r="K68" s="370">
        <v>263</v>
      </c>
      <c r="L68" s="371" t="s">
        <v>899</v>
      </c>
      <c r="M68" s="372" t="s">
        <v>3164</v>
      </c>
      <c r="N68" s="373" t="s">
        <v>900</v>
      </c>
      <c r="O68" s="374" t="s">
        <v>899</v>
      </c>
      <c r="P68" s="374" t="s">
        <v>3166</v>
      </c>
    </row>
    <row r="69" spans="1:16" ht="12.75">
      <c r="A69">
        <v>62</v>
      </c>
      <c r="B69" s="557">
        <v>522</v>
      </c>
      <c r="C69" t="s">
        <v>4395</v>
      </c>
      <c r="D69" s="107" t="s">
        <v>2439</v>
      </c>
      <c r="E69" s="540">
        <v>28281</v>
      </c>
      <c r="F69" s="556">
        <v>3144</v>
      </c>
      <c r="G69" s="541">
        <v>111.16</v>
      </c>
      <c r="H69" s="560">
        <v>0.26</v>
      </c>
      <c r="I69" s="107">
        <v>27</v>
      </c>
      <c r="K69" s="370">
        <v>266</v>
      </c>
      <c r="L69" s="371" t="s">
        <v>901</v>
      </c>
      <c r="M69" s="372" t="s">
        <v>3164</v>
      </c>
      <c r="N69" s="373" t="s">
        <v>902</v>
      </c>
      <c r="O69" s="374" t="s">
        <v>901</v>
      </c>
      <c r="P69" s="374" t="s">
        <v>3166</v>
      </c>
    </row>
    <row r="70" spans="1:16" ht="12.75">
      <c r="A70">
        <v>63</v>
      </c>
      <c r="B70" s="557">
        <v>5985</v>
      </c>
      <c r="C70" t="s">
        <v>4396</v>
      </c>
      <c r="D70" s="107" t="s">
        <v>1772</v>
      </c>
      <c r="E70" s="540">
        <v>6893116</v>
      </c>
      <c r="F70" s="556">
        <v>3020</v>
      </c>
      <c r="G70" s="541">
        <v>0.44</v>
      </c>
      <c r="H70" s="560">
        <v>0.25</v>
      </c>
      <c r="I70" s="107">
        <v>88</v>
      </c>
      <c r="K70" s="370">
        <v>267</v>
      </c>
      <c r="L70" s="371" t="s">
        <v>903</v>
      </c>
      <c r="M70" s="372" t="s">
        <v>3164</v>
      </c>
      <c r="N70" s="373" t="s">
        <v>904</v>
      </c>
      <c r="O70" s="374" t="s">
        <v>903</v>
      </c>
      <c r="P70" s="374" t="s">
        <v>3166</v>
      </c>
    </row>
    <row r="71" spans="1:16" ht="12.75">
      <c r="A71">
        <v>64</v>
      </c>
      <c r="B71" s="557">
        <v>14039</v>
      </c>
      <c r="C71" t="s">
        <v>4397</v>
      </c>
      <c r="D71" s="107" t="s">
        <v>2439</v>
      </c>
      <c r="E71" s="540">
        <v>14609</v>
      </c>
      <c r="F71" s="556">
        <v>2979</v>
      </c>
      <c r="G71" s="541">
        <v>203.88</v>
      </c>
      <c r="H71" s="560">
        <v>0.25</v>
      </c>
      <c r="I71" s="107">
        <v>6</v>
      </c>
      <c r="K71" s="370">
        <v>268</v>
      </c>
      <c r="L71" s="371" t="s">
        <v>905</v>
      </c>
      <c r="M71" s="372" t="s">
        <v>3164</v>
      </c>
      <c r="N71" s="373" t="s">
        <v>906</v>
      </c>
      <c r="O71" s="374" t="s">
        <v>905</v>
      </c>
      <c r="P71" s="374" t="s">
        <v>3166</v>
      </c>
    </row>
    <row r="72" spans="1:14" ht="12.75">
      <c r="A72">
        <v>65</v>
      </c>
      <c r="B72" s="557">
        <v>194</v>
      </c>
      <c r="C72" t="s">
        <v>4398</v>
      </c>
      <c r="D72" s="107" t="s">
        <v>1771</v>
      </c>
      <c r="E72" s="540">
        <v>24723</v>
      </c>
      <c r="F72" s="556">
        <v>2945</v>
      </c>
      <c r="G72" s="541">
        <v>119.1</v>
      </c>
      <c r="H72" s="560">
        <v>0.25</v>
      </c>
      <c r="I72" s="107">
        <v>21</v>
      </c>
      <c r="K72" s="370">
        <v>269</v>
      </c>
      <c r="L72" s="371" t="s">
        <v>907</v>
      </c>
      <c r="M72" s="372" t="s">
        <v>3164</v>
      </c>
      <c r="N72" s="373"/>
    </row>
    <row r="73" spans="1:16" ht="12.75">
      <c r="A73">
        <v>66</v>
      </c>
      <c r="B73" s="557">
        <v>8434</v>
      </c>
      <c r="C73" t="s">
        <v>4399</v>
      </c>
      <c r="D73" s="107" t="s">
        <v>2441</v>
      </c>
      <c r="E73" s="540">
        <v>3</v>
      </c>
      <c r="F73" s="556">
        <v>2854</v>
      </c>
      <c r="G73" s="541">
        <v>951184</v>
      </c>
      <c r="H73" s="560">
        <v>0.24</v>
      </c>
      <c r="I73" s="107">
        <v>3</v>
      </c>
      <c r="K73" s="370">
        <v>271</v>
      </c>
      <c r="L73" s="371" t="s">
        <v>908</v>
      </c>
      <c r="M73" s="372" t="s">
        <v>3164</v>
      </c>
      <c r="N73" s="373" t="s">
        <v>909</v>
      </c>
      <c r="O73" s="374" t="s">
        <v>910</v>
      </c>
      <c r="P73" s="374" t="s">
        <v>3166</v>
      </c>
    </row>
    <row r="74" spans="1:16" ht="12.75">
      <c r="A74">
        <v>67</v>
      </c>
      <c r="B74" s="557">
        <v>8634</v>
      </c>
      <c r="C74" t="s">
        <v>4400</v>
      </c>
      <c r="D74" s="107" t="s">
        <v>2439</v>
      </c>
      <c r="E74" s="540">
        <v>5464</v>
      </c>
      <c r="F74" s="556">
        <v>2825</v>
      </c>
      <c r="G74" s="541">
        <v>517</v>
      </c>
      <c r="H74" s="560">
        <v>0.24</v>
      </c>
      <c r="I74" s="107">
        <v>3</v>
      </c>
      <c r="K74" s="370">
        <v>272</v>
      </c>
      <c r="L74" s="371" t="s">
        <v>911</v>
      </c>
      <c r="M74" s="372" t="s">
        <v>3164</v>
      </c>
      <c r="N74" s="373" t="s">
        <v>912</v>
      </c>
      <c r="O74" s="374" t="s">
        <v>913</v>
      </c>
      <c r="P74" s="374" t="s">
        <v>3166</v>
      </c>
    </row>
    <row r="75" spans="1:16" ht="12.75">
      <c r="A75">
        <v>68</v>
      </c>
      <c r="B75" s="557">
        <v>332</v>
      </c>
      <c r="C75" t="s">
        <v>4401</v>
      </c>
      <c r="D75" s="107" t="s">
        <v>1771</v>
      </c>
      <c r="E75">
        <v>19590</v>
      </c>
      <c r="F75" s="556">
        <v>2740</v>
      </c>
      <c r="G75" s="541">
        <v>139.87</v>
      </c>
      <c r="H75" s="560">
        <v>0.23</v>
      </c>
      <c r="I75" s="107">
        <v>4</v>
      </c>
      <c r="K75" s="370">
        <v>273</v>
      </c>
      <c r="L75" s="371" t="s">
        <v>914</v>
      </c>
      <c r="M75" s="372" t="s">
        <v>3164</v>
      </c>
      <c r="N75" s="373" t="s">
        <v>915</v>
      </c>
      <c r="O75" s="374" t="s">
        <v>916</v>
      </c>
      <c r="P75" s="374" t="s">
        <v>3166</v>
      </c>
    </row>
    <row r="76" spans="1:16" ht="12.75">
      <c r="A76">
        <v>69</v>
      </c>
      <c r="B76" s="557">
        <v>2542</v>
      </c>
      <c r="C76" t="s">
        <v>4402</v>
      </c>
      <c r="D76" s="107" t="s">
        <v>1771</v>
      </c>
      <c r="E76" s="540">
        <v>11581</v>
      </c>
      <c r="F76" s="556">
        <v>2738</v>
      </c>
      <c r="G76" s="541">
        <v>236.38</v>
      </c>
      <c r="H76" s="560">
        <v>0.23</v>
      </c>
      <c r="I76" s="107">
        <v>10</v>
      </c>
      <c r="K76" s="370">
        <v>274</v>
      </c>
      <c r="L76" s="371" t="s">
        <v>917</v>
      </c>
      <c r="M76" s="372" t="s">
        <v>3164</v>
      </c>
      <c r="N76" s="373" t="s">
        <v>918</v>
      </c>
      <c r="O76" s="374" t="s">
        <v>919</v>
      </c>
      <c r="P76" s="374" t="s">
        <v>3166</v>
      </c>
    </row>
    <row r="77" spans="1:16" ht="12.75">
      <c r="A77">
        <v>70</v>
      </c>
      <c r="B77" s="557">
        <v>1810</v>
      </c>
      <c r="C77" t="s">
        <v>4403</v>
      </c>
      <c r="D77" s="107" t="s">
        <v>2439</v>
      </c>
      <c r="E77" s="540">
        <v>81051</v>
      </c>
      <c r="F77" s="556">
        <v>2705</v>
      </c>
      <c r="G77" s="541">
        <v>33.37</v>
      </c>
      <c r="H77" s="560">
        <v>0.23</v>
      </c>
      <c r="I77" s="107">
        <v>21</v>
      </c>
      <c r="K77" s="370">
        <v>275</v>
      </c>
      <c r="L77" s="371" t="s">
        <v>920</v>
      </c>
      <c r="M77" s="372" t="s">
        <v>3164</v>
      </c>
      <c r="N77" s="373" t="s">
        <v>921</v>
      </c>
      <c r="O77" s="374" t="s">
        <v>922</v>
      </c>
      <c r="P77" s="374" t="s">
        <v>3166</v>
      </c>
    </row>
    <row r="78" spans="1:16" ht="12.75">
      <c r="A78">
        <v>71</v>
      </c>
      <c r="B78" s="557">
        <v>2671</v>
      </c>
      <c r="C78" t="s">
        <v>696</v>
      </c>
      <c r="D78" s="107" t="s">
        <v>2522</v>
      </c>
      <c r="E78" s="540">
        <v>713</v>
      </c>
      <c r="F78" s="556">
        <v>2705</v>
      </c>
      <c r="G78" s="541">
        <v>3793.37</v>
      </c>
      <c r="H78" s="560">
        <v>0.23</v>
      </c>
      <c r="I78" s="107">
        <v>231</v>
      </c>
      <c r="K78" s="370">
        <v>276</v>
      </c>
      <c r="L78" s="371" t="s">
        <v>923</v>
      </c>
      <c r="M78" s="372" t="s">
        <v>3164</v>
      </c>
      <c r="N78" s="373" t="s">
        <v>924</v>
      </c>
      <c r="O78" s="374" t="s">
        <v>925</v>
      </c>
      <c r="P78" s="374" t="s">
        <v>3166</v>
      </c>
    </row>
    <row r="79" spans="1:16" ht="12.75">
      <c r="A79">
        <v>72</v>
      </c>
      <c r="B79" s="557">
        <v>6510</v>
      </c>
      <c r="C79" t="s">
        <v>4404</v>
      </c>
      <c r="D79" s="107" t="s">
        <v>2439</v>
      </c>
      <c r="E79" s="540">
        <v>15208576</v>
      </c>
      <c r="F79" s="556">
        <v>2668</v>
      </c>
      <c r="G79" s="541">
        <v>0.18</v>
      </c>
      <c r="H79" s="560">
        <v>0.22</v>
      </c>
      <c r="I79" s="107">
        <v>448</v>
      </c>
      <c r="K79" s="370">
        <v>277</v>
      </c>
      <c r="L79" s="371" t="s">
        <v>926</v>
      </c>
      <c r="M79" s="372" t="s">
        <v>3164</v>
      </c>
      <c r="N79" s="373" t="s">
        <v>2844</v>
      </c>
      <c r="O79" s="374" t="s">
        <v>2845</v>
      </c>
      <c r="P79" s="374" t="s">
        <v>3166</v>
      </c>
    </row>
    <row r="80" spans="1:16" ht="12.75">
      <c r="A80">
        <v>73</v>
      </c>
      <c r="B80" s="557">
        <v>272</v>
      </c>
      <c r="C80" t="s">
        <v>4405</v>
      </c>
      <c r="D80" s="107" t="s">
        <v>1771</v>
      </c>
      <c r="E80" s="540">
        <v>20680</v>
      </c>
      <c r="F80" s="556">
        <v>2665</v>
      </c>
      <c r="G80" s="541">
        <v>128.88</v>
      </c>
      <c r="H80" s="560">
        <v>0.22</v>
      </c>
      <c r="I80" s="107">
        <v>3</v>
      </c>
      <c r="K80" s="370">
        <v>278</v>
      </c>
      <c r="L80" s="371" t="s">
        <v>2846</v>
      </c>
      <c r="M80" s="372" t="s">
        <v>3164</v>
      </c>
      <c r="N80" s="373" t="s">
        <v>2847</v>
      </c>
      <c r="O80" s="374" t="s">
        <v>2848</v>
      </c>
      <c r="P80" s="374" t="s">
        <v>3166</v>
      </c>
    </row>
    <row r="81" spans="1:16" ht="12.75">
      <c r="A81">
        <v>74</v>
      </c>
      <c r="B81" s="557">
        <v>221</v>
      </c>
      <c r="C81" t="s">
        <v>4406</v>
      </c>
      <c r="D81" s="107" t="s">
        <v>1771</v>
      </c>
      <c r="E81" s="540">
        <v>25273</v>
      </c>
      <c r="F81" s="556">
        <v>2637</v>
      </c>
      <c r="G81" s="541">
        <v>104.33</v>
      </c>
      <c r="H81" s="560">
        <v>0.22</v>
      </c>
      <c r="I81" s="107">
        <v>42</v>
      </c>
      <c r="K81" s="370">
        <v>279</v>
      </c>
      <c r="L81" s="371" t="s">
        <v>2849</v>
      </c>
      <c r="M81" s="372" t="s">
        <v>3164</v>
      </c>
      <c r="N81" s="373" t="s">
        <v>2850</v>
      </c>
      <c r="O81" s="374" t="s">
        <v>2851</v>
      </c>
      <c r="P81" s="374" t="s">
        <v>3166</v>
      </c>
    </row>
    <row r="82" spans="1:16" ht="12.75">
      <c r="A82">
        <v>75</v>
      </c>
      <c r="B82" s="557">
        <v>18</v>
      </c>
      <c r="C82" t="s">
        <v>4407</v>
      </c>
      <c r="D82" s="107" t="s">
        <v>1771</v>
      </c>
      <c r="E82" s="540">
        <v>33019</v>
      </c>
      <c r="F82" s="556">
        <v>2540</v>
      </c>
      <c r="G82" s="541">
        <v>76.92</v>
      </c>
      <c r="H82" s="560">
        <v>0.21</v>
      </c>
      <c r="I82" s="107">
        <v>4</v>
      </c>
      <c r="K82" s="370">
        <v>291</v>
      </c>
      <c r="L82" s="371" t="s">
        <v>2852</v>
      </c>
      <c r="M82" s="372" t="s">
        <v>3164</v>
      </c>
      <c r="N82" s="373" t="s">
        <v>2853</v>
      </c>
      <c r="O82" s="374" t="s">
        <v>2852</v>
      </c>
      <c r="P82" s="374" t="s">
        <v>3166</v>
      </c>
    </row>
    <row r="83" spans="1:16" ht="12.75">
      <c r="A83">
        <v>76</v>
      </c>
      <c r="B83" s="557">
        <v>100</v>
      </c>
      <c r="C83" t="s">
        <v>4408</v>
      </c>
      <c r="D83" s="107" t="s">
        <v>1771</v>
      </c>
      <c r="E83" s="540">
        <v>22934</v>
      </c>
      <c r="F83" s="556">
        <v>2521</v>
      </c>
      <c r="G83" s="541">
        <v>109.93</v>
      </c>
      <c r="H83" s="560">
        <v>0.21</v>
      </c>
      <c r="I83" s="107">
        <v>104</v>
      </c>
      <c r="K83" s="370">
        <v>293</v>
      </c>
      <c r="L83" s="371" t="s">
        <v>2854</v>
      </c>
      <c r="M83" s="372" t="s">
        <v>3164</v>
      </c>
      <c r="N83" s="373" t="s">
        <v>2855</v>
      </c>
      <c r="O83" s="374" t="s">
        <v>2854</v>
      </c>
      <c r="P83" s="374" t="s">
        <v>3166</v>
      </c>
    </row>
    <row r="84" spans="1:16" ht="12.75">
      <c r="A84">
        <v>77</v>
      </c>
      <c r="B84" s="557">
        <v>103</v>
      </c>
      <c r="C84" t="s">
        <v>4409</v>
      </c>
      <c r="D84" s="107" t="s">
        <v>1771</v>
      </c>
      <c r="E84">
        <v>2743</v>
      </c>
      <c r="F84" s="556">
        <v>2499</v>
      </c>
      <c r="G84" s="541">
        <v>910.76</v>
      </c>
      <c r="H84" s="560">
        <v>0.21</v>
      </c>
      <c r="I84" s="107">
        <v>102</v>
      </c>
      <c r="K84" s="370">
        <v>296</v>
      </c>
      <c r="L84" s="371" t="s">
        <v>2856</v>
      </c>
      <c r="M84" s="372" t="s">
        <v>3164</v>
      </c>
      <c r="N84" s="373" t="s">
        <v>2857</v>
      </c>
      <c r="O84" s="374" t="s">
        <v>2856</v>
      </c>
      <c r="P84" s="374" t="s">
        <v>3166</v>
      </c>
    </row>
    <row r="85" spans="1:16" ht="12.75">
      <c r="A85">
        <v>78</v>
      </c>
      <c r="B85" s="557">
        <v>8637</v>
      </c>
      <c r="C85" t="s">
        <v>4410</v>
      </c>
      <c r="D85" s="107" t="s">
        <v>2439</v>
      </c>
      <c r="E85" s="540">
        <v>3218</v>
      </c>
      <c r="F85" s="556">
        <v>2414</v>
      </c>
      <c r="G85" s="541">
        <v>750</v>
      </c>
      <c r="H85" s="560">
        <v>0.2</v>
      </c>
      <c r="I85" s="107">
        <v>1</v>
      </c>
      <c r="K85" s="370">
        <v>300</v>
      </c>
      <c r="L85" s="371" t="s">
        <v>2858</v>
      </c>
      <c r="M85" s="372" t="s">
        <v>3164</v>
      </c>
      <c r="N85" s="373" t="s">
        <v>2859</v>
      </c>
      <c r="O85" s="374" t="s">
        <v>2860</v>
      </c>
      <c r="P85" s="374" t="s">
        <v>3166</v>
      </c>
    </row>
    <row r="86" spans="1:16" ht="12.75">
      <c r="A86">
        <v>79</v>
      </c>
      <c r="B86" s="557">
        <v>2651</v>
      </c>
      <c r="C86" t="s">
        <v>4411</v>
      </c>
      <c r="D86" s="107" t="s">
        <v>2441</v>
      </c>
      <c r="E86" s="540">
        <v>22</v>
      </c>
      <c r="F86" s="556">
        <v>2371</v>
      </c>
      <c r="G86" s="541">
        <v>107793.4</v>
      </c>
      <c r="H86" s="560">
        <v>0.2</v>
      </c>
      <c r="I86" s="107">
        <v>22</v>
      </c>
      <c r="K86" s="370">
        <v>301</v>
      </c>
      <c r="L86" s="371" t="s">
        <v>2861</v>
      </c>
      <c r="M86" s="372" t="s">
        <v>3164</v>
      </c>
      <c r="N86" s="373" t="s">
        <v>2862</v>
      </c>
      <c r="O86" s="374" t="s">
        <v>2863</v>
      </c>
      <c r="P86" s="374" t="s">
        <v>3166</v>
      </c>
    </row>
    <row r="87" spans="1:16" ht="12.75">
      <c r="A87">
        <v>80</v>
      </c>
      <c r="B87" s="557" t="s">
        <v>4412</v>
      </c>
      <c r="C87" t="s">
        <v>4413</v>
      </c>
      <c r="D87" s="107" t="s">
        <v>3416</v>
      </c>
      <c r="E87" s="540">
        <v>28660</v>
      </c>
      <c r="F87" s="556">
        <v>2359</v>
      </c>
      <c r="G87" s="541">
        <v>82.3</v>
      </c>
      <c r="H87" s="560">
        <v>0.2</v>
      </c>
      <c r="I87" s="107">
        <v>2</v>
      </c>
      <c r="K87" s="370">
        <v>302</v>
      </c>
      <c r="L87" s="371" t="s">
        <v>2864</v>
      </c>
      <c r="M87" s="372" t="s">
        <v>3164</v>
      </c>
      <c r="N87" s="373" t="s">
        <v>2865</v>
      </c>
      <c r="O87" s="374" t="s">
        <v>2866</v>
      </c>
      <c r="P87" s="374" t="s">
        <v>3166</v>
      </c>
    </row>
    <row r="88" spans="1:16" ht="12.75">
      <c r="A88">
        <v>81</v>
      </c>
      <c r="B88" s="557" t="s">
        <v>3990</v>
      </c>
      <c r="C88" t="s">
        <v>4414</v>
      </c>
      <c r="D88" s="107" t="s">
        <v>1772</v>
      </c>
      <c r="E88" s="540">
        <v>30440</v>
      </c>
      <c r="F88" s="556">
        <v>2347</v>
      </c>
      <c r="G88" s="541">
        <v>77.11</v>
      </c>
      <c r="H88" s="560">
        <v>0.2</v>
      </c>
      <c r="I88" s="107">
        <v>8</v>
      </c>
      <c r="K88" s="370">
        <v>303</v>
      </c>
      <c r="L88" s="371" t="s">
        <v>2867</v>
      </c>
      <c r="M88" s="372" t="s">
        <v>3164</v>
      </c>
      <c r="N88" s="373" t="s">
        <v>2868</v>
      </c>
      <c r="O88" s="374" t="s">
        <v>2869</v>
      </c>
      <c r="P88" s="374" t="s">
        <v>3166</v>
      </c>
    </row>
    <row r="89" spans="1:16" ht="12.75">
      <c r="A89">
        <v>82</v>
      </c>
      <c r="B89" s="557">
        <v>2367</v>
      </c>
      <c r="C89" t="s">
        <v>4415</v>
      </c>
      <c r="D89" s="107" t="s">
        <v>2522</v>
      </c>
      <c r="E89" s="540">
        <v>630</v>
      </c>
      <c r="F89" s="556">
        <v>2263</v>
      </c>
      <c r="G89" s="541">
        <v>3591.95</v>
      </c>
      <c r="H89" s="560">
        <v>0.19</v>
      </c>
      <c r="I89" s="107">
        <v>75</v>
      </c>
      <c r="K89" s="370">
        <v>304</v>
      </c>
      <c r="L89" s="371" t="s">
        <v>2870</v>
      </c>
      <c r="M89" s="372" t="s">
        <v>3164</v>
      </c>
      <c r="N89" s="373" t="s">
        <v>2871</v>
      </c>
      <c r="O89" s="374" t="s">
        <v>2872</v>
      </c>
      <c r="P89" s="374" t="s">
        <v>3166</v>
      </c>
    </row>
    <row r="90" spans="1:16" ht="12.75">
      <c r="A90">
        <v>83</v>
      </c>
      <c r="B90" s="557">
        <v>521</v>
      </c>
      <c r="C90" t="s">
        <v>4416</v>
      </c>
      <c r="D90" s="107" t="s">
        <v>2439</v>
      </c>
      <c r="E90" s="540">
        <v>25843</v>
      </c>
      <c r="F90" s="556">
        <v>2234</v>
      </c>
      <c r="G90" s="541">
        <v>86.44</v>
      </c>
      <c r="H90" s="560">
        <v>0.19</v>
      </c>
      <c r="I90" s="107">
        <v>22</v>
      </c>
      <c r="K90" s="370">
        <v>305</v>
      </c>
      <c r="L90" s="371" t="s">
        <v>2873</v>
      </c>
      <c r="M90" s="372" t="s">
        <v>3164</v>
      </c>
      <c r="N90" s="373" t="s">
        <v>2874</v>
      </c>
      <c r="O90" s="374" t="s">
        <v>2875</v>
      </c>
      <c r="P90" s="374" t="s">
        <v>3166</v>
      </c>
    </row>
    <row r="91" spans="1:16" ht="12.75">
      <c r="A91">
        <v>84</v>
      </c>
      <c r="B91" s="557">
        <v>2676</v>
      </c>
      <c r="C91" t="s">
        <v>4417</v>
      </c>
      <c r="D91" s="107" t="s">
        <v>2441</v>
      </c>
      <c r="E91" s="540">
        <v>478</v>
      </c>
      <c r="F91" s="556">
        <v>2234</v>
      </c>
      <c r="G91" s="541">
        <v>4672.93</v>
      </c>
      <c r="H91" s="560">
        <v>0.19</v>
      </c>
      <c r="I91" s="107">
        <v>478</v>
      </c>
      <c r="K91" s="370">
        <v>306</v>
      </c>
      <c r="L91" s="371" t="s">
        <v>2876</v>
      </c>
      <c r="M91" s="372" t="s">
        <v>3164</v>
      </c>
      <c r="N91" s="373" t="s">
        <v>2877</v>
      </c>
      <c r="O91" s="374" t="s">
        <v>2878</v>
      </c>
      <c r="P91" s="374" t="s">
        <v>3166</v>
      </c>
    </row>
    <row r="92" spans="1:16" ht="12.75">
      <c r="A92">
        <v>85</v>
      </c>
      <c r="B92" s="557" t="s">
        <v>4176</v>
      </c>
      <c r="C92" t="s">
        <v>4177</v>
      </c>
      <c r="D92" s="107" t="s">
        <v>2439</v>
      </c>
      <c r="E92" s="540">
        <v>16729</v>
      </c>
      <c r="F92" s="556">
        <v>2230</v>
      </c>
      <c r="G92" s="541">
        <v>133.29</v>
      </c>
      <c r="H92" s="560">
        <v>0.19</v>
      </c>
      <c r="I92" s="107">
        <v>8</v>
      </c>
      <c r="K92" s="370">
        <v>307</v>
      </c>
      <c r="L92" s="371" t="s">
        <v>2879</v>
      </c>
      <c r="M92" s="372" t="s">
        <v>3164</v>
      </c>
      <c r="N92" s="373" t="s">
        <v>2880</v>
      </c>
      <c r="O92" s="374" t="s">
        <v>2881</v>
      </c>
      <c r="P92" s="374" t="s">
        <v>3166</v>
      </c>
    </row>
    <row r="93" spans="1:16" ht="12.75">
      <c r="A93">
        <v>86</v>
      </c>
      <c r="B93" s="557">
        <v>2091</v>
      </c>
      <c r="C93" t="s">
        <v>4418</v>
      </c>
      <c r="D93" s="107" t="s">
        <v>1772</v>
      </c>
      <c r="E93" s="540">
        <v>231066</v>
      </c>
      <c r="F93" s="556">
        <v>2222</v>
      </c>
      <c r="G93" s="541">
        <v>9.62</v>
      </c>
      <c r="H93" s="560">
        <v>0.19</v>
      </c>
      <c r="I93" s="107">
        <v>41</v>
      </c>
      <c r="K93" s="370">
        <v>308</v>
      </c>
      <c r="L93" s="371" t="s">
        <v>2882</v>
      </c>
      <c r="M93" s="372" t="s">
        <v>3164</v>
      </c>
      <c r="N93" s="373" t="s">
        <v>2883</v>
      </c>
      <c r="O93" s="374" t="s">
        <v>2884</v>
      </c>
      <c r="P93" s="374" t="s">
        <v>3166</v>
      </c>
    </row>
    <row r="94" spans="1:16" ht="12.75">
      <c r="A94">
        <v>87</v>
      </c>
      <c r="B94" s="557">
        <v>8639</v>
      </c>
      <c r="C94" t="s">
        <v>4419</v>
      </c>
      <c r="D94" s="107" t="s">
        <v>2439</v>
      </c>
      <c r="E94" s="540">
        <v>2760</v>
      </c>
      <c r="F94" s="556">
        <v>2208</v>
      </c>
      <c r="G94" s="541">
        <v>800</v>
      </c>
      <c r="H94" s="560">
        <v>0.19</v>
      </c>
      <c r="I94" s="107">
        <v>1</v>
      </c>
      <c r="K94" s="370">
        <v>309</v>
      </c>
      <c r="L94" s="371" t="s">
        <v>2885</v>
      </c>
      <c r="M94" s="372" t="s">
        <v>3164</v>
      </c>
      <c r="N94" s="373" t="s">
        <v>2886</v>
      </c>
      <c r="O94" s="374" t="s">
        <v>2887</v>
      </c>
      <c r="P94" s="374" t="s">
        <v>3166</v>
      </c>
    </row>
    <row r="95" spans="1:16" ht="12.75">
      <c r="A95">
        <v>88</v>
      </c>
      <c r="B95" s="557" t="s">
        <v>2810</v>
      </c>
      <c r="C95" t="s">
        <v>4420</v>
      </c>
      <c r="D95" s="107" t="s">
        <v>2439</v>
      </c>
      <c r="E95" s="540">
        <v>4608031</v>
      </c>
      <c r="F95" s="556">
        <v>2171</v>
      </c>
      <c r="G95" s="541">
        <v>0.47</v>
      </c>
      <c r="H95" s="560">
        <v>0.18</v>
      </c>
      <c r="I95" s="107">
        <v>53</v>
      </c>
      <c r="K95" s="370">
        <v>312</v>
      </c>
      <c r="L95" s="371" t="s">
        <v>2888</v>
      </c>
      <c r="M95" s="372" t="s">
        <v>3164</v>
      </c>
      <c r="N95" s="373" t="s">
        <v>2889</v>
      </c>
      <c r="O95" s="374" t="s">
        <v>2890</v>
      </c>
      <c r="P95" s="374" t="s">
        <v>3166</v>
      </c>
    </row>
    <row r="96" spans="1:16" ht="12.75">
      <c r="A96">
        <v>89</v>
      </c>
      <c r="B96" s="557">
        <v>5950</v>
      </c>
      <c r="C96" t="s">
        <v>4421</v>
      </c>
      <c r="D96" s="107" t="s">
        <v>1772</v>
      </c>
      <c r="E96" s="540">
        <v>1116855</v>
      </c>
      <c r="F96" s="556">
        <v>2171</v>
      </c>
      <c r="G96" s="541">
        <v>1.94</v>
      </c>
      <c r="H96" s="560">
        <v>0.18</v>
      </c>
      <c r="I96" s="107">
        <v>84</v>
      </c>
      <c r="K96" s="370">
        <v>313</v>
      </c>
      <c r="L96" s="371" t="s">
        <v>2891</v>
      </c>
      <c r="M96" s="372" t="s">
        <v>3164</v>
      </c>
      <c r="N96" s="373" t="s">
        <v>2892</v>
      </c>
      <c r="O96" s="374" t="s">
        <v>2893</v>
      </c>
      <c r="P96" s="374" t="s">
        <v>3166</v>
      </c>
    </row>
    <row r="97" spans="1:16" ht="12.75">
      <c r="A97">
        <v>90</v>
      </c>
      <c r="B97" s="557">
        <v>14059</v>
      </c>
      <c r="C97" t="s">
        <v>4422</v>
      </c>
      <c r="D97" s="107" t="s">
        <v>2439</v>
      </c>
      <c r="E97" s="540">
        <v>27635</v>
      </c>
      <c r="F97" s="556">
        <v>2154</v>
      </c>
      <c r="G97" s="541">
        <v>77.96</v>
      </c>
      <c r="H97" s="560">
        <v>0.18</v>
      </c>
      <c r="I97" s="107">
        <v>8</v>
      </c>
      <c r="K97" s="370">
        <v>314</v>
      </c>
      <c r="L97" s="371" t="s">
        <v>2894</v>
      </c>
      <c r="M97" s="372" t="s">
        <v>3164</v>
      </c>
      <c r="N97" s="373" t="s">
        <v>2895</v>
      </c>
      <c r="O97" s="374" t="s">
        <v>2896</v>
      </c>
      <c r="P97" s="374" t="s">
        <v>3166</v>
      </c>
    </row>
    <row r="98" spans="1:16" ht="12.75">
      <c r="A98">
        <v>91</v>
      </c>
      <c r="B98" s="557">
        <v>8051</v>
      </c>
      <c r="C98" t="s">
        <v>4423</v>
      </c>
      <c r="D98" s="107" t="s">
        <v>2439</v>
      </c>
      <c r="E98" s="540">
        <v>14170</v>
      </c>
      <c r="F98" s="556">
        <v>2131</v>
      </c>
      <c r="G98" s="541">
        <v>150.37</v>
      </c>
      <c r="H98" s="560">
        <v>0.18</v>
      </c>
      <c r="I98" s="107">
        <v>13</v>
      </c>
      <c r="K98" s="370">
        <v>315</v>
      </c>
      <c r="L98" s="371" t="s">
        <v>2897</v>
      </c>
      <c r="M98" s="372" t="s">
        <v>3164</v>
      </c>
      <c r="N98" s="373" t="s">
        <v>2898</v>
      </c>
      <c r="O98" s="374" t="s">
        <v>2899</v>
      </c>
      <c r="P98" s="374" t="s">
        <v>3166</v>
      </c>
    </row>
    <row r="99" spans="1:16" ht="12.75">
      <c r="A99">
        <v>92</v>
      </c>
      <c r="B99" s="557">
        <v>6514</v>
      </c>
      <c r="C99" t="s">
        <v>4424</v>
      </c>
      <c r="D99" s="107" t="s">
        <v>2439</v>
      </c>
      <c r="E99" s="540">
        <v>8032616</v>
      </c>
      <c r="F99" s="556">
        <v>2126</v>
      </c>
      <c r="G99" s="541">
        <v>0.26</v>
      </c>
      <c r="H99" s="560">
        <v>0.18</v>
      </c>
      <c r="I99" s="107">
        <v>211</v>
      </c>
      <c r="K99" s="370">
        <v>316</v>
      </c>
      <c r="L99" s="371" t="s">
        <v>2900</v>
      </c>
      <c r="M99" s="372" t="s">
        <v>3164</v>
      </c>
      <c r="N99" s="373" t="s">
        <v>2901</v>
      </c>
      <c r="O99" s="374" t="s">
        <v>2902</v>
      </c>
      <c r="P99" s="374" t="s">
        <v>3166</v>
      </c>
    </row>
    <row r="100" spans="1:16" ht="12.75">
      <c r="A100">
        <v>93</v>
      </c>
      <c r="B100" s="557" t="s">
        <v>4092</v>
      </c>
      <c r="C100" t="s">
        <v>4093</v>
      </c>
      <c r="D100" s="107" t="s">
        <v>1772</v>
      </c>
      <c r="E100" s="540">
        <v>899929</v>
      </c>
      <c r="F100" s="556">
        <v>2108</v>
      </c>
      <c r="G100" s="541">
        <v>2.34</v>
      </c>
      <c r="H100" s="560">
        <v>0.18</v>
      </c>
      <c r="I100" s="107">
        <v>6</v>
      </c>
      <c r="K100" s="370">
        <v>317</v>
      </c>
      <c r="L100" s="371" t="s">
        <v>2903</v>
      </c>
      <c r="M100" s="372" t="s">
        <v>3164</v>
      </c>
      <c r="N100" s="373" t="s">
        <v>1797</v>
      </c>
      <c r="O100" s="374" t="s">
        <v>1798</v>
      </c>
      <c r="P100" s="374" t="s">
        <v>3166</v>
      </c>
    </row>
    <row r="101" spans="1:16" ht="12.75">
      <c r="A101">
        <v>94</v>
      </c>
      <c r="B101" s="557">
        <v>8638</v>
      </c>
      <c r="C101" t="s">
        <v>4425</v>
      </c>
      <c r="D101" s="107" t="s">
        <v>2439</v>
      </c>
      <c r="E101" s="540">
        <v>2895</v>
      </c>
      <c r="F101" s="556">
        <v>2074</v>
      </c>
      <c r="G101" s="541">
        <v>716.5</v>
      </c>
      <c r="H101" s="560">
        <v>0.17</v>
      </c>
      <c r="I101" s="107">
        <v>1</v>
      </c>
      <c r="K101" s="370">
        <v>318</v>
      </c>
      <c r="L101" s="371" t="s">
        <v>1799</v>
      </c>
      <c r="M101" s="372" t="s">
        <v>3164</v>
      </c>
      <c r="N101" s="373" t="s">
        <v>1800</v>
      </c>
      <c r="O101" s="374" t="s">
        <v>1801</v>
      </c>
      <c r="P101" s="374" t="s">
        <v>3166</v>
      </c>
    </row>
    <row r="102" spans="1:16" ht="12.75">
      <c r="A102">
        <v>95</v>
      </c>
      <c r="B102" s="557">
        <v>2484</v>
      </c>
      <c r="C102" t="s">
        <v>4426</v>
      </c>
      <c r="D102" s="107" t="s">
        <v>1771</v>
      </c>
      <c r="E102">
        <v>33562</v>
      </c>
      <c r="F102" s="556">
        <v>1997</v>
      </c>
      <c r="G102" s="541">
        <v>59.52</v>
      </c>
      <c r="H102" s="560">
        <v>0.17</v>
      </c>
      <c r="I102" s="107">
        <v>39</v>
      </c>
      <c r="K102" s="370">
        <v>319</v>
      </c>
      <c r="L102" s="371" t="s">
        <v>1802</v>
      </c>
      <c r="M102" s="372" t="s">
        <v>3164</v>
      </c>
      <c r="N102" s="373" t="s">
        <v>1803</v>
      </c>
      <c r="O102" s="374" t="s">
        <v>1804</v>
      </c>
      <c r="P102" s="374" t="s">
        <v>3166</v>
      </c>
    </row>
    <row r="103" spans="1:16" ht="12.75">
      <c r="A103">
        <v>96</v>
      </c>
      <c r="B103" s="557">
        <v>312</v>
      </c>
      <c r="C103" t="s">
        <v>4427</v>
      </c>
      <c r="D103" s="107" t="s">
        <v>1771</v>
      </c>
      <c r="E103" s="540">
        <v>23630</v>
      </c>
      <c r="F103" s="556">
        <v>1988</v>
      </c>
      <c r="G103" s="541">
        <v>84.12</v>
      </c>
      <c r="H103" s="560">
        <v>0.17</v>
      </c>
      <c r="I103" s="107">
        <v>4</v>
      </c>
      <c r="K103" s="370">
        <v>320</v>
      </c>
      <c r="L103" s="371" t="s">
        <v>1805</v>
      </c>
      <c r="M103" s="372" t="s">
        <v>3164</v>
      </c>
      <c r="N103" s="373" t="s">
        <v>1806</v>
      </c>
      <c r="O103" s="374" t="s">
        <v>1807</v>
      </c>
      <c r="P103" s="374" t="s">
        <v>3166</v>
      </c>
    </row>
    <row r="104" spans="1:16" ht="12.75">
      <c r="A104">
        <v>97</v>
      </c>
      <c r="B104" s="557">
        <v>14062</v>
      </c>
      <c r="C104" t="s">
        <v>4428</v>
      </c>
      <c r="D104" s="107" t="s">
        <v>2439</v>
      </c>
      <c r="E104" s="540">
        <v>12890</v>
      </c>
      <c r="F104" s="556">
        <v>1974</v>
      </c>
      <c r="G104" s="541">
        <v>153.14</v>
      </c>
      <c r="H104" s="560">
        <v>0.17</v>
      </c>
      <c r="I104" s="107">
        <v>3</v>
      </c>
      <c r="K104" s="370">
        <v>321</v>
      </c>
      <c r="L104" s="371" t="s">
        <v>1808</v>
      </c>
      <c r="M104" s="372" t="s">
        <v>3164</v>
      </c>
      <c r="N104" s="373" t="s">
        <v>1809</v>
      </c>
      <c r="O104" s="374" t="s">
        <v>1810</v>
      </c>
      <c r="P104" s="374" t="s">
        <v>3166</v>
      </c>
    </row>
    <row r="105" spans="1:16" ht="12.75">
      <c r="A105">
        <v>98</v>
      </c>
      <c r="B105" s="557">
        <v>208</v>
      </c>
      <c r="C105" t="s">
        <v>4429</v>
      </c>
      <c r="D105" s="107" t="s">
        <v>1771</v>
      </c>
      <c r="E105" s="540">
        <v>22962</v>
      </c>
      <c r="F105" s="556">
        <v>1954</v>
      </c>
      <c r="G105" s="541">
        <v>85.09</v>
      </c>
      <c r="H105" s="560">
        <v>0.16</v>
      </c>
      <c r="I105" s="107">
        <v>2</v>
      </c>
      <c r="K105" s="370">
        <v>322</v>
      </c>
      <c r="L105" s="371" t="s">
        <v>1811</v>
      </c>
      <c r="M105" s="372" t="s">
        <v>3164</v>
      </c>
      <c r="N105" s="373" t="s">
        <v>1812</v>
      </c>
      <c r="O105" s="374" t="s">
        <v>1813</v>
      </c>
      <c r="P105" s="374" t="s">
        <v>3166</v>
      </c>
    </row>
    <row r="106" spans="1:16" ht="12.75">
      <c r="A106">
        <v>99</v>
      </c>
      <c r="B106" s="557">
        <v>205</v>
      </c>
      <c r="C106" t="s">
        <v>4430</v>
      </c>
      <c r="D106" s="107" t="s">
        <v>1771</v>
      </c>
      <c r="E106" s="540">
        <v>20006</v>
      </c>
      <c r="F106" s="556">
        <v>1946</v>
      </c>
      <c r="G106" s="541">
        <v>97.25</v>
      </c>
      <c r="H106" s="560">
        <v>0.16</v>
      </c>
      <c r="I106" s="107">
        <v>1</v>
      </c>
      <c r="K106" s="370">
        <v>323</v>
      </c>
      <c r="L106" s="371" t="s">
        <v>1814</v>
      </c>
      <c r="M106" s="372" t="s">
        <v>3164</v>
      </c>
      <c r="N106" s="373" t="s">
        <v>1815</v>
      </c>
      <c r="O106" s="374" t="s">
        <v>1816</v>
      </c>
      <c r="P106" s="374" t="s">
        <v>3166</v>
      </c>
    </row>
    <row r="107" spans="1:16" ht="12.75">
      <c r="A107">
        <v>100</v>
      </c>
      <c r="B107" s="557">
        <v>2562</v>
      </c>
      <c r="C107" t="s">
        <v>4431</v>
      </c>
      <c r="D107" s="107" t="s">
        <v>3416</v>
      </c>
      <c r="E107" s="540">
        <v>292419</v>
      </c>
      <c r="F107" s="556">
        <v>1920</v>
      </c>
      <c r="G107" s="541">
        <v>6.57</v>
      </c>
      <c r="H107" s="560">
        <v>0.16</v>
      </c>
      <c r="I107" s="107">
        <v>606</v>
      </c>
      <c r="K107" s="370">
        <v>324</v>
      </c>
      <c r="L107" s="371" t="s">
        <v>1817</v>
      </c>
      <c r="M107" s="372" t="s">
        <v>3164</v>
      </c>
      <c r="N107" s="373" t="s">
        <v>1818</v>
      </c>
      <c r="O107" s="374" t="s">
        <v>1819</v>
      </c>
      <c r="P107" s="374" t="s">
        <v>3166</v>
      </c>
    </row>
    <row r="108" spans="1:16" ht="12.75">
      <c r="A108">
        <v>101</v>
      </c>
      <c r="B108" s="557">
        <v>8046</v>
      </c>
      <c r="C108" t="s">
        <v>4432</v>
      </c>
      <c r="D108" s="107" t="s">
        <v>2439</v>
      </c>
      <c r="E108" s="540">
        <v>20473</v>
      </c>
      <c r="F108" s="556">
        <v>1908</v>
      </c>
      <c r="G108" s="541">
        <v>93.18</v>
      </c>
      <c r="H108" s="560">
        <v>0.16</v>
      </c>
      <c r="I108" s="107">
        <v>21</v>
      </c>
      <c r="K108" s="370">
        <v>325</v>
      </c>
      <c r="L108" s="371" t="s">
        <v>2269</v>
      </c>
      <c r="M108" s="372" t="s">
        <v>3164</v>
      </c>
      <c r="N108" s="373" t="s">
        <v>2270</v>
      </c>
      <c r="O108" s="374" t="s">
        <v>2271</v>
      </c>
      <c r="P108" s="374" t="s">
        <v>3166</v>
      </c>
    </row>
    <row r="109" spans="1:16" ht="12.75">
      <c r="A109">
        <v>102</v>
      </c>
      <c r="B109" s="557">
        <v>2223</v>
      </c>
      <c r="C109" t="s">
        <v>4433</v>
      </c>
      <c r="D109" s="107" t="s">
        <v>1773</v>
      </c>
      <c r="E109" s="540">
        <v>38621</v>
      </c>
      <c r="F109" s="556">
        <v>1906</v>
      </c>
      <c r="G109" s="541">
        <v>49.36</v>
      </c>
      <c r="H109" s="560">
        <v>0.16</v>
      </c>
      <c r="I109" s="107">
        <v>26</v>
      </c>
      <c r="K109" s="370">
        <v>326</v>
      </c>
      <c r="L109" s="371" t="s">
        <v>2272</v>
      </c>
      <c r="M109" s="372" t="s">
        <v>3164</v>
      </c>
      <c r="N109" s="373" t="s">
        <v>2273</v>
      </c>
      <c r="O109" s="374" t="s">
        <v>2274</v>
      </c>
      <c r="P109" s="374" t="s">
        <v>3166</v>
      </c>
    </row>
    <row r="110" spans="1:16" ht="12.75">
      <c r="A110">
        <v>103</v>
      </c>
      <c r="B110" s="557" t="s">
        <v>4246</v>
      </c>
      <c r="C110" t="s">
        <v>4434</v>
      </c>
      <c r="D110" s="107" t="s">
        <v>1772</v>
      </c>
      <c r="E110" s="540">
        <v>79334</v>
      </c>
      <c r="F110" s="556">
        <v>1884</v>
      </c>
      <c r="G110" s="541">
        <v>23.75</v>
      </c>
      <c r="H110" s="560">
        <v>0.16</v>
      </c>
      <c r="I110" s="107">
        <v>1</v>
      </c>
      <c r="K110" s="370">
        <v>327</v>
      </c>
      <c r="L110" s="371" t="s">
        <v>2275</v>
      </c>
      <c r="M110" s="372" t="s">
        <v>3164</v>
      </c>
      <c r="N110" s="373" t="s">
        <v>2276</v>
      </c>
      <c r="O110" s="374" t="s">
        <v>2277</v>
      </c>
      <c r="P110" s="374" t="s">
        <v>3166</v>
      </c>
    </row>
    <row r="111" spans="1:16" ht="12.75">
      <c r="A111">
        <v>104</v>
      </c>
      <c r="B111" s="557">
        <v>13</v>
      </c>
      <c r="C111" t="s">
        <v>4435</v>
      </c>
      <c r="D111" s="107" t="s">
        <v>1772</v>
      </c>
      <c r="E111" s="540">
        <v>260624</v>
      </c>
      <c r="F111" s="556">
        <v>1865</v>
      </c>
      <c r="G111" s="541">
        <v>7.16</v>
      </c>
      <c r="H111" s="560">
        <v>0.16</v>
      </c>
      <c r="I111" s="107">
        <v>4</v>
      </c>
      <c r="K111" s="370">
        <v>328</v>
      </c>
      <c r="L111" s="371" t="s">
        <v>2278</v>
      </c>
      <c r="M111" s="372" t="s">
        <v>3164</v>
      </c>
      <c r="N111" s="373" t="s">
        <v>2279</v>
      </c>
      <c r="O111" s="374" t="s">
        <v>2280</v>
      </c>
      <c r="P111" s="374" t="s">
        <v>3166</v>
      </c>
    </row>
    <row r="112" spans="1:16" ht="12.75">
      <c r="A112">
        <v>105</v>
      </c>
      <c r="B112" s="557">
        <v>8</v>
      </c>
      <c r="C112" t="s">
        <v>4436</v>
      </c>
      <c r="D112" s="107" t="s">
        <v>1772</v>
      </c>
      <c r="E112" s="540">
        <v>427479</v>
      </c>
      <c r="F112" s="556">
        <v>1845</v>
      </c>
      <c r="G112" s="541">
        <v>4.32</v>
      </c>
      <c r="H112" s="560">
        <v>0.15</v>
      </c>
      <c r="I112" s="107">
        <v>8</v>
      </c>
      <c r="K112" s="370">
        <v>329</v>
      </c>
      <c r="L112" s="371" t="s">
        <v>2281</v>
      </c>
      <c r="M112" s="372" t="s">
        <v>3164</v>
      </c>
      <c r="N112" s="373" t="s">
        <v>2282</v>
      </c>
      <c r="O112" s="374" t="s">
        <v>2283</v>
      </c>
      <c r="P112" s="374" t="s">
        <v>3166</v>
      </c>
    </row>
    <row r="113" spans="1:16" ht="12.75">
      <c r="A113">
        <v>106</v>
      </c>
      <c r="B113" s="557" t="s">
        <v>3481</v>
      </c>
      <c r="C113" t="s">
        <v>4437</v>
      </c>
      <c r="D113" s="107" t="s">
        <v>1772</v>
      </c>
      <c r="E113" s="540">
        <v>896334</v>
      </c>
      <c r="F113" s="556">
        <v>1812</v>
      </c>
      <c r="G113" s="541">
        <v>2.02</v>
      </c>
      <c r="H113" s="560">
        <v>0.15</v>
      </c>
      <c r="I113" s="107">
        <v>7</v>
      </c>
      <c r="K113" s="370">
        <v>330</v>
      </c>
      <c r="L113" s="371" t="s">
        <v>2284</v>
      </c>
      <c r="M113" s="372" t="s">
        <v>3164</v>
      </c>
      <c r="N113" s="373" t="s">
        <v>2285</v>
      </c>
      <c r="O113" s="374" t="s">
        <v>2286</v>
      </c>
      <c r="P113" s="374" t="s">
        <v>3166</v>
      </c>
    </row>
    <row r="114" spans="1:16" ht="12.75">
      <c r="A114">
        <v>107</v>
      </c>
      <c r="B114" s="557">
        <v>2555</v>
      </c>
      <c r="C114" t="s">
        <v>4438</v>
      </c>
      <c r="D114" s="107" t="s">
        <v>1773</v>
      </c>
      <c r="E114" s="540">
        <v>3543</v>
      </c>
      <c r="F114" s="556">
        <v>1808</v>
      </c>
      <c r="G114" s="541">
        <v>510.27</v>
      </c>
      <c r="H114" s="560">
        <v>0.15</v>
      </c>
      <c r="I114" s="107">
        <v>20</v>
      </c>
      <c r="K114" s="370">
        <v>331</v>
      </c>
      <c r="L114" s="371" t="s">
        <v>711</v>
      </c>
      <c r="M114" s="372" t="s">
        <v>3164</v>
      </c>
      <c r="N114" s="373" t="s">
        <v>712</v>
      </c>
      <c r="O114" s="374" t="s">
        <v>713</v>
      </c>
      <c r="P114" s="374" t="s">
        <v>3166</v>
      </c>
    </row>
    <row r="115" spans="1:16" ht="12.75">
      <c r="A115">
        <v>108</v>
      </c>
      <c r="B115" s="557">
        <v>2262</v>
      </c>
      <c r="C115" t="s">
        <v>4439</v>
      </c>
      <c r="D115" s="107" t="s">
        <v>2439</v>
      </c>
      <c r="E115">
        <v>200012</v>
      </c>
      <c r="F115" s="556">
        <v>1794</v>
      </c>
      <c r="G115" s="541">
        <v>8.97</v>
      </c>
      <c r="H115" s="560">
        <v>0.15</v>
      </c>
      <c r="I115" s="107">
        <v>6</v>
      </c>
      <c r="K115" s="370">
        <v>332</v>
      </c>
      <c r="L115" s="371" t="s">
        <v>714</v>
      </c>
      <c r="M115" s="372" t="s">
        <v>3164</v>
      </c>
      <c r="N115" s="373" t="s">
        <v>715</v>
      </c>
      <c r="O115" s="374" t="s">
        <v>716</v>
      </c>
      <c r="P115" s="374" t="s">
        <v>3166</v>
      </c>
    </row>
    <row r="116" spans="1:16" ht="12.75">
      <c r="A116">
        <v>109</v>
      </c>
      <c r="B116" s="557">
        <v>2604</v>
      </c>
      <c r="C116" t="s">
        <v>4440</v>
      </c>
      <c r="D116" s="107" t="s">
        <v>1772</v>
      </c>
      <c r="E116">
        <v>461401</v>
      </c>
      <c r="F116" s="556">
        <v>1774</v>
      </c>
      <c r="G116" s="541">
        <v>3.85</v>
      </c>
      <c r="H116" s="560">
        <v>0.15</v>
      </c>
      <c r="I116" s="107">
        <v>13</v>
      </c>
      <c r="K116" s="370">
        <v>333</v>
      </c>
      <c r="L116" s="371" t="s">
        <v>717</v>
      </c>
      <c r="M116" s="372" t="s">
        <v>3164</v>
      </c>
      <c r="N116" s="373" t="s">
        <v>718</v>
      </c>
      <c r="O116" s="374" t="s">
        <v>719</v>
      </c>
      <c r="P116" s="374" t="s">
        <v>3166</v>
      </c>
    </row>
    <row r="117" spans="1:16" ht="12.75">
      <c r="A117">
        <v>110</v>
      </c>
      <c r="B117" s="557" t="s">
        <v>4441</v>
      </c>
      <c r="C117" t="s">
        <v>4442</v>
      </c>
      <c r="D117" s="107" t="s">
        <v>2439</v>
      </c>
      <c r="E117" s="540">
        <v>4044</v>
      </c>
      <c r="F117" s="556">
        <v>1765</v>
      </c>
      <c r="G117" s="541">
        <v>436.5</v>
      </c>
      <c r="H117" s="560">
        <v>0.15</v>
      </c>
      <c r="I117" s="107">
        <v>1</v>
      </c>
      <c r="K117" s="370">
        <v>334</v>
      </c>
      <c r="L117" s="371" t="s">
        <v>720</v>
      </c>
      <c r="M117" s="372" t="s">
        <v>3164</v>
      </c>
      <c r="N117" s="373" t="s">
        <v>721</v>
      </c>
      <c r="O117" s="374" t="s">
        <v>722</v>
      </c>
      <c r="P117" s="374" t="s">
        <v>3166</v>
      </c>
    </row>
    <row r="118" spans="1:16" ht="12.75">
      <c r="A118">
        <v>111</v>
      </c>
      <c r="B118" s="557">
        <v>1000</v>
      </c>
      <c r="C118" t="s">
        <v>4443</v>
      </c>
      <c r="D118" s="107" t="s">
        <v>2439</v>
      </c>
      <c r="E118" s="540">
        <v>133703</v>
      </c>
      <c r="F118" s="556">
        <v>1754</v>
      </c>
      <c r="G118" s="541">
        <v>13.12</v>
      </c>
      <c r="H118" s="560">
        <v>0.15</v>
      </c>
      <c r="I118" s="107">
        <v>34</v>
      </c>
      <c r="K118" s="370">
        <v>335</v>
      </c>
      <c r="L118" s="371" t="s">
        <v>723</v>
      </c>
      <c r="M118" s="372" t="s">
        <v>3164</v>
      </c>
      <c r="N118" s="373" t="s">
        <v>724</v>
      </c>
      <c r="O118" s="374" t="s">
        <v>725</v>
      </c>
      <c r="P118" s="374" t="s">
        <v>3166</v>
      </c>
    </row>
    <row r="119" spans="1:16" ht="12.75">
      <c r="A119">
        <v>112</v>
      </c>
      <c r="B119" s="557">
        <v>356</v>
      </c>
      <c r="C119" t="s">
        <v>4444</v>
      </c>
      <c r="D119" s="107" t="s">
        <v>1771</v>
      </c>
      <c r="E119" s="540">
        <v>8376</v>
      </c>
      <c r="F119" s="556">
        <v>1718</v>
      </c>
      <c r="G119" s="541">
        <v>205.1</v>
      </c>
      <c r="H119" s="560">
        <v>0.14</v>
      </c>
      <c r="I119" s="107">
        <v>252</v>
      </c>
      <c r="K119" s="370">
        <v>336</v>
      </c>
      <c r="L119" s="371" t="s">
        <v>726</v>
      </c>
      <c r="M119" s="372" t="s">
        <v>3164</v>
      </c>
      <c r="N119" s="373" t="s">
        <v>727</v>
      </c>
      <c r="O119" s="374" t="s">
        <v>728</v>
      </c>
      <c r="P119" s="374" t="s">
        <v>3166</v>
      </c>
    </row>
    <row r="120" spans="1:16" ht="12.75">
      <c r="A120">
        <v>113</v>
      </c>
      <c r="B120" s="557">
        <v>8018</v>
      </c>
      <c r="C120" t="s">
        <v>4445</v>
      </c>
      <c r="D120" s="107" t="s">
        <v>3416</v>
      </c>
      <c r="E120" s="540">
        <v>23822</v>
      </c>
      <c r="F120" s="556">
        <v>1714</v>
      </c>
      <c r="G120" s="541">
        <v>71.96</v>
      </c>
      <c r="H120" s="560">
        <v>0.14</v>
      </c>
      <c r="I120" s="107">
        <v>3</v>
      </c>
      <c r="K120" s="370">
        <v>337</v>
      </c>
      <c r="L120" s="371" t="s">
        <v>729</v>
      </c>
      <c r="M120" s="372" t="s">
        <v>3164</v>
      </c>
      <c r="N120" s="373" t="s">
        <v>730</v>
      </c>
      <c r="O120" s="374" t="s">
        <v>731</v>
      </c>
      <c r="P120" s="374" t="s">
        <v>3166</v>
      </c>
    </row>
    <row r="121" spans="1:16" ht="12.75">
      <c r="A121">
        <v>114</v>
      </c>
      <c r="B121" s="557">
        <v>8632</v>
      </c>
      <c r="C121" t="s">
        <v>4446</v>
      </c>
      <c r="D121" s="107" t="s">
        <v>2439</v>
      </c>
      <c r="E121">
        <v>4224</v>
      </c>
      <c r="F121" s="556">
        <v>1705</v>
      </c>
      <c r="G121" s="541">
        <v>403.78</v>
      </c>
      <c r="H121" s="560">
        <v>0.14</v>
      </c>
      <c r="I121" s="107">
        <v>2</v>
      </c>
      <c r="K121" s="370">
        <v>338</v>
      </c>
      <c r="L121" s="371" t="s">
        <v>732</v>
      </c>
      <c r="M121" s="372" t="s">
        <v>3164</v>
      </c>
      <c r="N121" s="373" t="s">
        <v>733</v>
      </c>
      <c r="O121" s="374" t="s">
        <v>732</v>
      </c>
      <c r="P121" s="374" t="s">
        <v>3166</v>
      </c>
    </row>
    <row r="122" spans="1:16" ht="12.75">
      <c r="A122">
        <v>115</v>
      </c>
      <c r="B122" s="557">
        <v>464</v>
      </c>
      <c r="C122" t="s">
        <v>4447</v>
      </c>
      <c r="D122" s="107" t="s">
        <v>2439</v>
      </c>
      <c r="E122" s="540">
        <v>9209</v>
      </c>
      <c r="F122" s="556">
        <v>1674</v>
      </c>
      <c r="G122" s="541">
        <v>181.83</v>
      </c>
      <c r="H122" s="560">
        <v>0.14</v>
      </c>
      <c r="I122" s="107">
        <v>44</v>
      </c>
      <c r="K122" s="370">
        <v>339</v>
      </c>
      <c r="L122" s="371" t="s">
        <v>734</v>
      </c>
      <c r="M122" s="372" t="s">
        <v>3164</v>
      </c>
      <c r="N122" s="373" t="s">
        <v>735</v>
      </c>
      <c r="O122" s="374" t="s">
        <v>736</v>
      </c>
      <c r="P122" s="374" t="s">
        <v>3166</v>
      </c>
    </row>
    <row r="123" spans="1:16" ht="12.75">
      <c r="A123">
        <v>116</v>
      </c>
      <c r="B123" s="557">
        <v>3235</v>
      </c>
      <c r="C123" t="s">
        <v>4448</v>
      </c>
      <c r="D123" s="107" t="s">
        <v>1773</v>
      </c>
      <c r="E123" s="540">
        <v>24682</v>
      </c>
      <c r="F123" s="556">
        <v>1663</v>
      </c>
      <c r="G123" s="541">
        <v>67.38</v>
      </c>
      <c r="H123" s="560">
        <v>0.14</v>
      </c>
      <c r="I123" s="107">
        <v>22</v>
      </c>
      <c r="K123" s="370">
        <v>340</v>
      </c>
      <c r="L123" s="371" t="s">
        <v>737</v>
      </c>
      <c r="M123" s="372" t="s">
        <v>3164</v>
      </c>
      <c r="N123" s="373" t="s">
        <v>738</v>
      </c>
      <c r="O123" s="374" t="s">
        <v>739</v>
      </c>
      <c r="P123" s="374" t="s">
        <v>3166</v>
      </c>
    </row>
    <row r="124" spans="1:16" ht="12.75">
      <c r="A124">
        <v>117</v>
      </c>
      <c r="B124" s="557">
        <v>462</v>
      </c>
      <c r="C124" t="s">
        <v>4449</v>
      </c>
      <c r="D124" s="107" t="s">
        <v>2439</v>
      </c>
      <c r="E124" s="540">
        <v>11777</v>
      </c>
      <c r="F124" s="556">
        <v>1652</v>
      </c>
      <c r="G124" s="541">
        <v>140.25</v>
      </c>
      <c r="H124" s="560">
        <v>0.14</v>
      </c>
      <c r="I124" s="107">
        <v>54</v>
      </c>
      <c r="K124" s="370">
        <v>342</v>
      </c>
      <c r="L124" s="371" t="s">
        <v>740</v>
      </c>
      <c r="M124" s="372" t="s">
        <v>3164</v>
      </c>
      <c r="N124" s="373" t="s">
        <v>741</v>
      </c>
      <c r="O124" s="374" t="s">
        <v>742</v>
      </c>
      <c r="P124" s="374" t="s">
        <v>3166</v>
      </c>
    </row>
    <row r="125" spans="1:16" ht="12.75">
      <c r="A125">
        <v>118</v>
      </c>
      <c r="B125" s="557">
        <v>2101</v>
      </c>
      <c r="C125" t="s">
        <v>4450</v>
      </c>
      <c r="D125" s="107" t="s">
        <v>1772</v>
      </c>
      <c r="E125" s="540">
        <v>16636</v>
      </c>
      <c r="F125" s="556">
        <v>1630</v>
      </c>
      <c r="G125" s="541">
        <v>97.95</v>
      </c>
      <c r="H125" s="560">
        <v>0.14</v>
      </c>
      <c r="I125" s="107">
        <v>21</v>
      </c>
      <c r="K125" s="370">
        <v>344</v>
      </c>
      <c r="L125" s="371" t="s">
        <v>743</v>
      </c>
      <c r="M125" s="372" t="s">
        <v>3164</v>
      </c>
      <c r="N125" s="373" t="s">
        <v>744</v>
      </c>
      <c r="O125" s="374" t="s">
        <v>745</v>
      </c>
      <c r="P125" s="374" t="s">
        <v>3166</v>
      </c>
    </row>
    <row r="126" spans="1:16" ht="12.75">
      <c r="A126">
        <v>119</v>
      </c>
      <c r="B126" s="557">
        <v>524</v>
      </c>
      <c r="C126" t="s">
        <v>4451</v>
      </c>
      <c r="D126" s="107" t="s">
        <v>2439</v>
      </c>
      <c r="E126">
        <v>10704</v>
      </c>
      <c r="F126" s="556">
        <v>1612</v>
      </c>
      <c r="G126" s="541">
        <v>150.6</v>
      </c>
      <c r="H126" s="560">
        <v>0.14</v>
      </c>
      <c r="I126" s="107">
        <v>18</v>
      </c>
      <c r="K126" s="370">
        <v>358</v>
      </c>
      <c r="L126" s="371" t="s">
        <v>746</v>
      </c>
      <c r="M126" s="372" t="s">
        <v>3164</v>
      </c>
      <c r="N126" s="373" t="s">
        <v>747</v>
      </c>
      <c r="O126" s="374" t="s">
        <v>746</v>
      </c>
      <c r="P126" s="374" t="s">
        <v>3166</v>
      </c>
    </row>
    <row r="127" spans="1:16" ht="12.75">
      <c r="A127">
        <v>120</v>
      </c>
      <c r="B127" s="557">
        <v>6613</v>
      </c>
      <c r="C127" t="s">
        <v>4452</v>
      </c>
      <c r="D127" s="107" t="s">
        <v>2522</v>
      </c>
      <c r="E127" s="540">
        <v>56865</v>
      </c>
      <c r="F127" s="556">
        <v>1593</v>
      </c>
      <c r="G127" s="541">
        <v>28.01</v>
      </c>
      <c r="H127" s="560">
        <v>0.13</v>
      </c>
      <c r="I127" s="107">
        <v>33</v>
      </c>
      <c r="K127" s="370">
        <v>374</v>
      </c>
      <c r="L127" s="371" t="s">
        <v>748</v>
      </c>
      <c r="M127" s="372" t="s">
        <v>3164</v>
      </c>
      <c r="N127" s="373" t="s">
        <v>749</v>
      </c>
      <c r="O127" s="374" t="s">
        <v>748</v>
      </c>
      <c r="P127" s="374" t="s">
        <v>3166</v>
      </c>
    </row>
    <row r="128" spans="1:16" ht="12.75">
      <c r="A128">
        <v>121</v>
      </c>
      <c r="B128" s="557">
        <v>6610</v>
      </c>
      <c r="C128" t="s">
        <v>4453</v>
      </c>
      <c r="D128" s="107" t="s">
        <v>2522</v>
      </c>
      <c r="E128" s="540">
        <v>50619</v>
      </c>
      <c r="F128" s="556">
        <v>1573</v>
      </c>
      <c r="G128" s="541">
        <v>31.08</v>
      </c>
      <c r="H128" s="560">
        <v>0.13</v>
      </c>
      <c r="I128" s="107">
        <v>29</v>
      </c>
      <c r="K128" s="370">
        <v>439</v>
      </c>
      <c r="L128" s="371" t="s">
        <v>750</v>
      </c>
      <c r="M128" s="372" t="s">
        <v>751</v>
      </c>
      <c r="N128" s="373" t="s">
        <v>752</v>
      </c>
      <c r="O128" s="374" t="s">
        <v>753</v>
      </c>
      <c r="P128" s="374" t="s">
        <v>754</v>
      </c>
    </row>
    <row r="129" spans="1:16" ht="12.75">
      <c r="A129">
        <v>122</v>
      </c>
      <c r="B129" s="557">
        <v>4895</v>
      </c>
      <c r="C129" t="s">
        <v>4454</v>
      </c>
      <c r="D129" s="107" t="s">
        <v>2439</v>
      </c>
      <c r="E129" s="540">
        <v>107430</v>
      </c>
      <c r="F129" s="556">
        <v>1563</v>
      </c>
      <c r="G129" s="541">
        <v>14.55</v>
      </c>
      <c r="H129" s="560">
        <v>0.13</v>
      </c>
      <c r="I129" s="107">
        <v>108</v>
      </c>
      <c r="K129" s="370">
        <v>440</v>
      </c>
      <c r="L129" s="371" t="s">
        <v>755</v>
      </c>
      <c r="M129" s="372" t="s">
        <v>751</v>
      </c>
      <c r="N129" s="373" t="s">
        <v>756</v>
      </c>
      <c r="O129" s="374" t="s">
        <v>757</v>
      </c>
      <c r="P129" s="374" t="s">
        <v>754</v>
      </c>
    </row>
    <row r="130" spans="1:16" ht="12.75">
      <c r="A130">
        <v>123</v>
      </c>
      <c r="B130" s="557">
        <v>2697</v>
      </c>
      <c r="C130" t="s">
        <v>4455</v>
      </c>
      <c r="D130" s="107" t="s">
        <v>2439</v>
      </c>
      <c r="E130" s="540">
        <v>6788161</v>
      </c>
      <c r="F130" s="556">
        <v>1556</v>
      </c>
      <c r="G130" s="541">
        <v>0.23</v>
      </c>
      <c r="H130" s="560">
        <v>0.13</v>
      </c>
      <c r="I130" s="107">
        <v>166</v>
      </c>
      <c r="K130" s="370">
        <v>441</v>
      </c>
      <c r="L130" s="371" t="s">
        <v>758</v>
      </c>
      <c r="M130" s="372" t="s">
        <v>751</v>
      </c>
      <c r="N130" s="373" t="s">
        <v>759</v>
      </c>
      <c r="O130" s="374" t="s">
        <v>760</v>
      </c>
      <c r="P130" s="374" t="s">
        <v>754</v>
      </c>
    </row>
    <row r="131" spans="1:16" ht="12.75">
      <c r="A131">
        <v>124</v>
      </c>
      <c r="B131" s="557" t="s">
        <v>4228</v>
      </c>
      <c r="C131" t="s">
        <v>4456</v>
      </c>
      <c r="D131" s="107" t="s">
        <v>1771</v>
      </c>
      <c r="E131" s="540">
        <v>14942</v>
      </c>
      <c r="F131" s="556">
        <v>1554</v>
      </c>
      <c r="G131" s="541">
        <v>104</v>
      </c>
      <c r="H131" s="560">
        <v>0.13</v>
      </c>
      <c r="I131" s="107">
        <v>1</v>
      </c>
      <c r="K131" s="370">
        <v>443</v>
      </c>
      <c r="L131" s="371" t="s">
        <v>761</v>
      </c>
      <c r="M131" s="372" t="s">
        <v>751</v>
      </c>
      <c r="N131" s="373" t="s">
        <v>762</v>
      </c>
      <c r="O131" s="374" t="s">
        <v>1577</v>
      </c>
      <c r="P131" s="374" t="s">
        <v>754</v>
      </c>
    </row>
    <row r="132" spans="1:16" ht="12.75">
      <c r="A132">
        <v>125</v>
      </c>
      <c r="B132" s="557">
        <v>6522</v>
      </c>
      <c r="C132" t="s">
        <v>4457</v>
      </c>
      <c r="D132" s="107" t="s">
        <v>3418</v>
      </c>
      <c r="E132" s="540">
        <v>1671</v>
      </c>
      <c r="F132" s="556">
        <v>1523</v>
      </c>
      <c r="G132" s="541">
        <v>911.44</v>
      </c>
      <c r="H132" s="560">
        <v>0.13</v>
      </c>
      <c r="I132" s="107">
        <v>5</v>
      </c>
      <c r="K132" s="370">
        <v>445</v>
      </c>
      <c r="L132" s="371" t="s">
        <v>1578</v>
      </c>
      <c r="M132" s="372" t="s">
        <v>751</v>
      </c>
      <c r="N132" s="373" t="s">
        <v>1579</v>
      </c>
      <c r="O132" s="374" t="s">
        <v>1580</v>
      </c>
      <c r="P132" s="374" t="s">
        <v>754</v>
      </c>
    </row>
    <row r="133" spans="1:16" ht="12.75">
      <c r="A133">
        <v>126</v>
      </c>
      <c r="B133" s="557">
        <v>5952</v>
      </c>
      <c r="C133" t="s">
        <v>4458</v>
      </c>
      <c r="D133" s="107" t="s">
        <v>1772</v>
      </c>
      <c r="E133" s="540">
        <v>7524576</v>
      </c>
      <c r="F133" s="556">
        <v>1498</v>
      </c>
      <c r="G133" s="541">
        <v>0.2</v>
      </c>
      <c r="H133" s="560">
        <v>0.13</v>
      </c>
      <c r="I133" s="107">
        <v>87</v>
      </c>
      <c r="K133" s="370">
        <v>450</v>
      </c>
      <c r="L133" s="371" t="s">
        <v>1581</v>
      </c>
      <c r="M133" s="372" t="s">
        <v>751</v>
      </c>
      <c r="N133" s="373" t="s">
        <v>1582</v>
      </c>
      <c r="O133" s="374" t="s">
        <v>1583</v>
      </c>
      <c r="P133" s="374" t="s">
        <v>754</v>
      </c>
    </row>
    <row r="134" spans="1:16" ht="12.75">
      <c r="A134">
        <v>127</v>
      </c>
      <c r="B134" s="557">
        <v>6523</v>
      </c>
      <c r="C134" t="s">
        <v>4459</v>
      </c>
      <c r="D134" s="107" t="s">
        <v>3418</v>
      </c>
      <c r="E134" s="540">
        <v>1489</v>
      </c>
      <c r="F134" s="556">
        <v>1486</v>
      </c>
      <c r="G134" s="541">
        <v>998.57</v>
      </c>
      <c r="H134" s="560">
        <v>0.12</v>
      </c>
      <c r="I134" s="107">
        <v>5</v>
      </c>
      <c r="K134" s="370">
        <v>451</v>
      </c>
      <c r="L134" s="371" t="s">
        <v>1584</v>
      </c>
      <c r="M134" s="372" t="s">
        <v>751</v>
      </c>
      <c r="N134" s="373" t="s">
        <v>1585</v>
      </c>
      <c r="O134" s="374" t="s">
        <v>1586</v>
      </c>
      <c r="P134" s="374" t="s">
        <v>754</v>
      </c>
    </row>
    <row r="135" spans="1:16" ht="12.75">
      <c r="A135">
        <v>128</v>
      </c>
      <c r="B135" s="557">
        <v>8633</v>
      </c>
      <c r="C135" t="s">
        <v>4460</v>
      </c>
      <c r="D135" s="107" t="s">
        <v>2439</v>
      </c>
      <c r="E135" s="540">
        <v>3431</v>
      </c>
      <c r="F135" s="556">
        <v>1484</v>
      </c>
      <c r="G135" s="541">
        <v>432.58</v>
      </c>
      <c r="H135" s="560">
        <v>0.12</v>
      </c>
      <c r="I135" s="107">
        <v>2</v>
      </c>
      <c r="K135" s="370">
        <v>452</v>
      </c>
      <c r="L135" s="371" t="s">
        <v>1587</v>
      </c>
      <c r="M135" s="372" t="s">
        <v>751</v>
      </c>
      <c r="N135" s="373" t="s">
        <v>1588</v>
      </c>
      <c r="O135" s="374" t="s">
        <v>1589</v>
      </c>
      <c r="P135" s="374" t="s">
        <v>754</v>
      </c>
    </row>
    <row r="136" spans="1:16" ht="12.75">
      <c r="A136">
        <v>129</v>
      </c>
      <c r="B136" s="557">
        <v>6612</v>
      </c>
      <c r="C136" t="s">
        <v>4461</v>
      </c>
      <c r="D136" s="107" t="s">
        <v>2522</v>
      </c>
      <c r="E136" s="540">
        <v>46718</v>
      </c>
      <c r="F136" s="556">
        <v>1482</v>
      </c>
      <c r="G136" s="541">
        <v>31.72</v>
      </c>
      <c r="H136" s="560">
        <v>0.12</v>
      </c>
      <c r="I136" s="107">
        <v>26</v>
      </c>
      <c r="K136" s="370">
        <v>454</v>
      </c>
      <c r="L136" s="371" t="s">
        <v>1590</v>
      </c>
      <c r="M136" s="372" t="s">
        <v>751</v>
      </c>
      <c r="N136" s="373" t="s">
        <v>1591</v>
      </c>
      <c r="O136" s="374" t="s">
        <v>1592</v>
      </c>
      <c r="P136" s="374" t="s">
        <v>754</v>
      </c>
    </row>
    <row r="137" spans="1:16" ht="12.75">
      <c r="A137">
        <v>130</v>
      </c>
      <c r="B137" s="557">
        <v>470</v>
      </c>
      <c r="C137" t="s">
        <v>4462</v>
      </c>
      <c r="D137" s="107" t="s">
        <v>2439</v>
      </c>
      <c r="E137" s="540">
        <v>4682</v>
      </c>
      <c r="F137" s="556">
        <v>1479</v>
      </c>
      <c r="G137" s="541">
        <v>315.92</v>
      </c>
      <c r="H137" s="560">
        <v>0.12</v>
      </c>
      <c r="I137" s="107">
        <v>12</v>
      </c>
      <c r="K137" s="370">
        <v>460</v>
      </c>
      <c r="L137" s="371" t="s">
        <v>1593</v>
      </c>
      <c r="M137" s="372" t="s">
        <v>751</v>
      </c>
      <c r="N137" s="373" t="s">
        <v>1594</v>
      </c>
      <c r="O137" s="374" t="s">
        <v>1595</v>
      </c>
      <c r="P137" s="374" t="s">
        <v>754</v>
      </c>
    </row>
    <row r="138" spans="1:16" ht="12.75">
      <c r="A138">
        <v>131</v>
      </c>
      <c r="B138" s="557">
        <v>16025</v>
      </c>
      <c r="C138" t="s">
        <v>4463</v>
      </c>
      <c r="D138" s="107" t="s">
        <v>2439</v>
      </c>
      <c r="E138" s="540">
        <v>10497</v>
      </c>
      <c r="F138" s="556">
        <v>1467</v>
      </c>
      <c r="G138" s="541">
        <v>139.75</v>
      </c>
      <c r="H138" s="560">
        <v>0.12</v>
      </c>
      <c r="I138" s="107">
        <v>1</v>
      </c>
      <c r="K138" s="370">
        <v>461</v>
      </c>
      <c r="L138" s="371" t="s">
        <v>1596</v>
      </c>
      <c r="M138" s="372" t="s">
        <v>751</v>
      </c>
      <c r="N138" s="373" t="s">
        <v>1597</v>
      </c>
      <c r="O138" s="374" t="s">
        <v>1598</v>
      </c>
      <c r="P138" s="374" t="s">
        <v>754</v>
      </c>
    </row>
    <row r="139" spans="1:16" ht="12.75">
      <c r="A139">
        <v>132</v>
      </c>
      <c r="B139" s="557">
        <v>191</v>
      </c>
      <c r="C139" t="s">
        <v>4464</v>
      </c>
      <c r="D139" s="107" t="s">
        <v>1771</v>
      </c>
      <c r="E139" s="540">
        <v>15506</v>
      </c>
      <c r="F139" s="556">
        <v>1458</v>
      </c>
      <c r="G139" s="541">
        <v>94.06</v>
      </c>
      <c r="H139" s="560">
        <v>0.12</v>
      </c>
      <c r="I139" s="107">
        <v>9</v>
      </c>
      <c r="K139" s="370">
        <v>462</v>
      </c>
      <c r="L139" s="371" t="s">
        <v>1599</v>
      </c>
      <c r="M139" s="372" t="s">
        <v>751</v>
      </c>
      <c r="N139" s="373" t="s">
        <v>1600</v>
      </c>
      <c r="O139" s="374" t="s">
        <v>1601</v>
      </c>
      <c r="P139" s="374" t="s">
        <v>754</v>
      </c>
    </row>
    <row r="140" spans="1:16" ht="12.75">
      <c r="A140">
        <v>133</v>
      </c>
      <c r="B140" s="557">
        <v>1005</v>
      </c>
      <c r="C140" t="s">
        <v>4465</v>
      </c>
      <c r="D140" s="107" t="s">
        <v>2439</v>
      </c>
      <c r="E140">
        <v>99120</v>
      </c>
      <c r="F140" s="556">
        <v>1454</v>
      </c>
      <c r="G140" s="541">
        <v>14.67</v>
      </c>
      <c r="H140" s="560">
        <v>0.12</v>
      </c>
      <c r="I140" s="107">
        <v>5</v>
      </c>
      <c r="K140" s="370">
        <v>463</v>
      </c>
      <c r="L140" s="371" t="s">
        <v>1602</v>
      </c>
      <c r="M140" s="372" t="s">
        <v>751</v>
      </c>
      <c r="N140" s="373" t="s">
        <v>1603</v>
      </c>
      <c r="O140" s="374" t="s">
        <v>1604</v>
      </c>
      <c r="P140" s="374" t="s">
        <v>754</v>
      </c>
    </row>
    <row r="141" spans="1:16" ht="12.75">
      <c r="A141">
        <v>134</v>
      </c>
      <c r="B141" s="557">
        <v>3236</v>
      </c>
      <c r="C141" t="s">
        <v>4466</v>
      </c>
      <c r="D141" s="107" t="s">
        <v>3416</v>
      </c>
      <c r="E141" s="540">
        <v>191694</v>
      </c>
      <c r="F141" s="556">
        <v>1447</v>
      </c>
      <c r="G141" s="541">
        <v>7.55</v>
      </c>
      <c r="H141" s="560">
        <v>0.12</v>
      </c>
      <c r="I141" s="107">
        <v>29</v>
      </c>
      <c r="K141" s="370">
        <v>464</v>
      </c>
      <c r="L141" s="371" t="s">
        <v>1605</v>
      </c>
      <c r="M141" s="372" t="s">
        <v>751</v>
      </c>
      <c r="N141" s="373" t="s">
        <v>1606</v>
      </c>
      <c r="O141" s="374" t="s">
        <v>1607</v>
      </c>
      <c r="P141" s="374" t="s">
        <v>754</v>
      </c>
    </row>
    <row r="142" spans="1:16" ht="12.75">
      <c r="A142">
        <v>135</v>
      </c>
      <c r="B142" s="557">
        <v>3304</v>
      </c>
      <c r="C142" t="s">
        <v>3419</v>
      </c>
      <c r="D142" s="107" t="s">
        <v>1772</v>
      </c>
      <c r="E142" s="540">
        <v>23890</v>
      </c>
      <c r="F142" s="556">
        <v>1445</v>
      </c>
      <c r="G142" s="541">
        <v>60.48</v>
      </c>
      <c r="H142" s="560">
        <v>0.12</v>
      </c>
      <c r="I142" s="107">
        <v>24</v>
      </c>
      <c r="K142" s="370">
        <v>465</v>
      </c>
      <c r="L142" s="371" t="s">
        <v>1608</v>
      </c>
      <c r="M142" s="372" t="s">
        <v>751</v>
      </c>
      <c r="N142" s="373" t="s">
        <v>1609</v>
      </c>
      <c r="O142" s="374" t="s">
        <v>1610</v>
      </c>
      <c r="P142" s="374" t="s">
        <v>754</v>
      </c>
    </row>
    <row r="143" spans="1:16" ht="12.75">
      <c r="A143">
        <v>136</v>
      </c>
      <c r="B143" s="557">
        <v>4714</v>
      </c>
      <c r="C143" t="s">
        <v>4467</v>
      </c>
      <c r="D143" s="107" t="s">
        <v>2522</v>
      </c>
      <c r="E143" s="540">
        <v>27</v>
      </c>
      <c r="F143" s="556">
        <v>1440</v>
      </c>
      <c r="G143" s="541">
        <v>53351.46</v>
      </c>
      <c r="H143" s="560">
        <v>0.12</v>
      </c>
      <c r="I143" s="107">
        <v>4</v>
      </c>
      <c r="K143" s="370">
        <v>466</v>
      </c>
      <c r="L143" s="371" t="s">
        <v>1611</v>
      </c>
      <c r="M143" s="372" t="s">
        <v>751</v>
      </c>
      <c r="N143" s="373" t="s">
        <v>1612</v>
      </c>
      <c r="O143" s="374" t="s">
        <v>1613</v>
      </c>
      <c r="P143" s="374" t="s">
        <v>754</v>
      </c>
    </row>
    <row r="144" spans="1:16" ht="12.75">
      <c r="A144">
        <v>137</v>
      </c>
      <c r="B144" s="557">
        <v>263</v>
      </c>
      <c r="C144" t="s">
        <v>4468</v>
      </c>
      <c r="D144" s="107" t="s">
        <v>1771</v>
      </c>
      <c r="E144" s="540">
        <v>14635</v>
      </c>
      <c r="F144" s="556">
        <v>1434</v>
      </c>
      <c r="G144" s="541">
        <v>98.01</v>
      </c>
      <c r="H144" s="560">
        <v>0.12</v>
      </c>
      <c r="I144" s="107">
        <v>25</v>
      </c>
      <c r="K144" s="370">
        <v>467</v>
      </c>
      <c r="L144" s="371" t="s">
        <v>1614</v>
      </c>
      <c r="M144" s="372" t="s">
        <v>751</v>
      </c>
      <c r="N144" s="373" t="s">
        <v>1615</v>
      </c>
      <c r="O144" s="374" t="s">
        <v>1616</v>
      </c>
      <c r="P144" s="374" t="s">
        <v>754</v>
      </c>
    </row>
    <row r="145" spans="1:16" ht="12.75">
      <c r="A145">
        <v>138</v>
      </c>
      <c r="B145" s="557" t="s">
        <v>992</v>
      </c>
      <c r="C145" t="s">
        <v>4469</v>
      </c>
      <c r="D145" s="107" t="s">
        <v>3416</v>
      </c>
      <c r="E145" s="540">
        <v>9576</v>
      </c>
      <c r="F145" s="556">
        <v>1410</v>
      </c>
      <c r="G145" s="541">
        <v>147.26</v>
      </c>
      <c r="H145" s="560">
        <v>0.12</v>
      </c>
      <c r="I145" s="107">
        <v>8</v>
      </c>
      <c r="K145" s="370">
        <v>468</v>
      </c>
      <c r="L145" s="371" t="s">
        <v>1617</v>
      </c>
      <c r="M145" s="372" t="s">
        <v>751</v>
      </c>
      <c r="N145" s="373" t="s">
        <v>1618</v>
      </c>
      <c r="O145" s="374" t="s">
        <v>1619</v>
      </c>
      <c r="P145" s="374" t="s">
        <v>754</v>
      </c>
    </row>
    <row r="146" spans="1:16" ht="12.75">
      <c r="A146">
        <v>139</v>
      </c>
      <c r="B146" s="557" t="s">
        <v>4320</v>
      </c>
      <c r="C146" t="s">
        <v>4470</v>
      </c>
      <c r="D146" s="107" t="s">
        <v>2439</v>
      </c>
      <c r="E146" s="540">
        <v>11863</v>
      </c>
      <c r="F146" s="556">
        <v>1403</v>
      </c>
      <c r="G146" s="541">
        <v>118.3</v>
      </c>
      <c r="H146" s="560">
        <v>0.12</v>
      </c>
      <c r="I146" s="107">
        <v>1</v>
      </c>
      <c r="K146" s="370">
        <v>469</v>
      </c>
      <c r="L146" s="371" t="s">
        <v>1620</v>
      </c>
      <c r="M146" s="372" t="s">
        <v>751</v>
      </c>
      <c r="N146" s="373" t="s">
        <v>1621</v>
      </c>
      <c r="O146" s="374" t="s">
        <v>1622</v>
      </c>
      <c r="P146" s="374" t="s">
        <v>754</v>
      </c>
    </row>
    <row r="147" spans="1:16" ht="12.75">
      <c r="A147">
        <v>140</v>
      </c>
      <c r="B147" s="557" t="s">
        <v>4471</v>
      </c>
      <c r="C147" t="s">
        <v>4472</v>
      </c>
      <c r="D147" s="107" t="s">
        <v>2439</v>
      </c>
      <c r="E147">
        <v>5622</v>
      </c>
      <c r="F147" s="556">
        <v>1369</v>
      </c>
      <c r="G147" s="541">
        <v>243.5</v>
      </c>
      <c r="H147" s="560">
        <v>0.11</v>
      </c>
      <c r="I147" s="107">
        <v>1</v>
      </c>
      <c r="K147" s="370">
        <v>470</v>
      </c>
      <c r="L147" s="371" t="s">
        <v>1623</v>
      </c>
      <c r="M147" s="372" t="s">
        <v>751</v>
      </c>
      <c r="N147" s="373" t="s">
        <v>1624</v>
      </c>
      <c r="O147" s="374" t="s">
        <v>1625</v>
      </c>
      <c r="P147" s="374" t="s">
        <v>754</v>
      </c>
    </row>
    <row r="148" spans="1:16" ht="12.75">
      <c r="A148">
        <v>141</v>
      </c>
      <c r="B148" s="557" t="s">
        <v>3484</v>
      </c>
      <c r="C148" t="s">
        <v>4473</v>
      </c>
      <c r="D148" s="107" t="s">
        <v>2439</v>
      </c>
      <c r="E148">
        <v>5884</v>
      </c>
      <c r="F148" s="556">
        <v>1355</v>
      </c>
      <c r="G148" s="541">
        <v>230.3</v>
      </c>
      <c r="H148" s="560">
        <v>0.11</v>
      </c>
      <c r="I148" s="107">
        <v>1</v>
      </c>
      <c r="K148" s="370">
        <v>471</v>
      </c>
      <c r="L148" s="371" t="s">
        <v>1626</v>
      </c>
      <c r="M148" s="372" t="s">
        <v>751</v>
      </c>
      <c r="N148" s="373" t="s">
        <v>1627</v>
      </c>
      <c r="O148" s="374" t="s">
        <v>1628</v>
      </c>
      <c r="P148" s="374" t="s">
        <v>754</v>
      </c>
    </row>
    <row r="149" spans="1:16" ht="12.75">
      <c r="A149">
        <v>142</v>
      </c>
      <c r="B149" s="557">
        <v>2231</v>
      </c>
      <c r="C149" t="s">
        <v>4474</v>
      </c>
      <c r="D149" s="107" t="s">
        <v>1773</v>
      </c>
      <c r="E149" s="540">
        <v>19321</v>
      </c>
      <c r="F149" s="556">
        <v>1342</v>
      </c>
      <c r="G149" s="541">
        <v>69.47</v>
      </c>
      <c r="H149" s="560">
        <v>0.11</v>
      </c>
      <c r="I149" s="107">
        <v>23</v>
      </c>
      <c r="K149" s="370">
        <v>472</v>
      </c>
      <c r="L149" s="371" t="s">
        <v>1629</v>
      </c>
      <c r="M149" s="372" t="s">
        <v>751</v>
      </c>
      <c r="N149" s="373" t="s">
        <v>1630</v>
      </c>
      <c r="O149" s="374" t="s">
        <v>1631</v>
      </c>
      <c r="P149" s="374" t="s">
        <v>754</v>
      </c>
    </row>
    <row r="150" spans="1:16" ht="12.75">
      <c r="A150">
        <v>143</v>
      </c>
      <c r="B150" s="557">
        <v>472</v>
      </c>
      <c r="C150" t="s">
        <v>4475</v>
      </c>
      <c r="D150" s="107" t="s">
        <v>2439</v>
      </c>
      <c r="E150" s="540">
        <v>1954</v>
      </c>
      <c r="F150" s="556">
        <v>1315</v>
      </c>
      <c r="G150" s="541">
        <v>672.83</v>
      </c>
      <c r="H150" s="560">
        <v>0.11</v>
      </c>
      <c r="I150" s="107">
        <v>5</v>
      </c>
      <c r="K150" s="370">
        <v>473</v>
      </c>
      <c r="L150" s="371" t="s">
        <v>1632</v>
      </c>
      <c r="M150" s="372" t="s">
        <v>751</v>
      </c>
      <c r="N150" s="373" t="s">
        <v>1633</v>
      </c>
      <c r="O150" s="374" t="s">
        <v>1634</v>
      </c>
      <c r="P150" s="374" t="s">
        <v>754</v>
      </c>
    </row>
    <row r="151" spans="1:16" ht="12.75">
      <c r="A151">
        <v>144</v>
      </c>
      <c r="B151" s="557">
        <v>8435</v>
      </c>
      <c r="C151" t="s">
        <v>4476</v>
      </c>
      <c r="D151" s="107" t="s">
        <v>2441</v>
      </c>
      <c r="E151" s="540">
        <v>3</v>
      </c>
      <c r="F151" s="556">
        <v>1310</v>
      </c>
      <c r="G151" s="541">
        <v>436666.7</v>
      </c>
      <c r="H151" s="560">
        <v>0.11</v>
      </c>
      <c r="I151" s="107">
        <v>3</v>
      </c>
      <c r="K151" s="370">
        <v>474</v>
      </c>
      <c r="L151" s="371" t="s">
        <v>1635</v>
      </c>
      <c r="M151" s="372" t="s">
        <v>751</v>
      </c>
      <c r="N151" s="373" t="s">
        <v>1636</v>
      </c>
      <c r="O151" s="374" t="s">
        <v>1637</v>
      </c>
      <c r="P151" s="374" t="s">
        <v>754</v>
      </c>
    </row>
    <row r="152" spans="1:16" ht="12.75">
      <c r="A152">
        <v>145</v>
      </c>
      <c r="B152" s="557">
        <v>5953</v>
      </c>
      <c r="C152" t="s">
        <v>4477</v>
      </c>
      <c r="D152" s="107" t="s">
        <v>1772</v>
      </c>
      <c r="E152" s="540">
        <v>5394707</v>
      </c>
      <c r="F152" s="556">
        <v>1271</v>
      </c>
      <c r="G152" s="541">
        <v>0.24</v>
      </c>
      <c r="H152" s="560">
        <v>0.11</v>
      </c>
      <c r="I152" s="107">
        <v>87</v>
      </c>
      <c r="K152" s="370">
        <v>475</v>
      </c>
      <c r="L152" s="371" t="s">
        <v>1638</v>
      </c>
      <c r="M152" s="372" t="s">
        <v>751</v>
      </c>
      <c r="N152" s="373" t="s">
        <v>1639</v>
      </c>
      <c r="O152" s="374" t="s">
        <v>1640</v>
      </c>
      <c r="P152" s="374" t="s">
        <v>754</v>
      </c>
    </row>
    <row r="153" spans="1:16" ht="12.75">
      <c r="A153">
        <v>146</v>
      </c>
      <c r="B153" s="557">
        <v>16521</v>
      </c>
      <c r="C153" t="s">
        <v>4230</v>
      </c>
      <c r="D153" s="107" t="s">
        <v>2439</v>
      </c>
      <c r="E153" s="540">
        <v>8800</v>
      </c>
      <c r="F153" s="556">
        <v>1264</v>
      </c>
      <c r="G153" s="541">
        <v>143.66</v>
      </c>
      <c r="H153" s="560">
        <v>0.11</v>
      </c>
      <c r="I153" s="107">
        <v>1</v>
      </c>
      <c r="K153" s="370">
        <v>476</v>
      </c>
      <c r="L153" s="371" t="s">
        <v>1641</v>
      </c>
      <c r="M153" s="372" t="s">
        <v>751</v>
      </c>
      <c r="N153" s="373" t="s">
        <v>1642</v>
      </c>
      <c r="O153" s="374" t="s">
        <v>1643</v>
      </c>
      <c r="P153" s="374" t="s">
        <v>754</v>
      </c>
    </row>
    <row r="154" spans="1:16" ht="12.75">
      <c r="A154">
        <v>147</v>
      </c>
      <c r="B154" s="557">
        <v>6511</v>
      </c>
      <c r="C154" t="s">
        <v>4478</v>
      </c>
      <c r="D154" s="107" t="s">
        <v>2439</v>
      </c>
      <c r="E154" s="540">
        <v>4717105</v>
      </c>
      <c r="F154" s="556">
        <v>1258</v>
      </c>
      <c r="G154" s="541">
        <v>0.27</v>
      </c>
      <c r="H154" s="560">
        <v>0.11</v>
      </c>
      <c r="I154" s="107">
        <v>45</v>
      </c>
      <c r="K154" s="370">
        <v>477</v>
      </c>
      <c r="L154" s="371" t="s">
        <v>1644</v>
      </c>
      <c r="M154" s="372" t="s">
        <v>751</v>
      </c>
      <c r="N154" s="373" t="s">
        <v>1645</v>
      </c>
      <c r="O154" s="374" t="s">
        <v>1646</v>
      </c>
      <c r="P154" s="374" t="s">
        <v>754</v>
      </c>
    </row>
    <row r="155" spans="1:16" ht="12.75">
      <c r="A155">
        <v>148</v>
      </c>
      <c r="B155" s="557">
        <v>14</v>
      </c>
      <c r="C155" t="s">
        <v>4479</v>
      </c>
      <c r="D155" s="107" t="s">
        <v>1771</v>
      </c>
      <c r="E155" s="540">
        <v>5514</v>
      </c>
      <c r="F155" s="556">
        <v>1247</v>
      </c>
      <c r="G155" s="541">
        <v>226.23</v>
      </c>
      <c r="H155" s="560">
        <v>0.1</v>
      </c>
      <c r="I155" s="107">
        <v>4</v>
      </c>
      <c r="K155" s="370">
        <v>478</v>
      </c>
      <c r="L155" s="371" t="s">
        <v>1647</v>
      </c>
      <c r="M155" s="372" t="s">
        <v>751</v>
      </c>
      <c r="N155" s="373" t="s">
        <v>1648</v>
      </c>
      <c r="O155" s="374" t="s">
        <v>1649</v>
      </c>
      <c r="P155" s="374" t="s">
        <v>754</v>
      </c>
    </row>
    <row r="156" spans="1:16" ht="12.75">
      <c r="A156">
        <v>149</v>
      </c>
      <c r="B156" s="557">
        <v>80</v>
      </c>
      <c r="C156" t="s">
        <v>4480</v>
      </c>
      <c r="D156" s="107" t="s">
        <v>1771</v>
      </c>
      <c r="E156">
        <v>20034</v>
      </c>
      <c r="F156" s="556">
        <v>1207</v>
      </c>
      <c r="G156" s="541">
        <v>60.26</v>
      </c>
      <c r="H156" s="560">
        <v>0.1</v>
      </c>
      <c r="I156" s="107">
        <v>11</v>
      </c>
      <c r="K156" s="370">
        <v>479</v>
      </c>
      <c r="L156" s="371" t="s">
        <v>1650</v>
      </c>
      <c r="M156" s="372" t="s">
        <v>751</v>
      </c>
      <c r="N156" s="373" t="s">
        <v>1651</v>
      </c>
      <c r="O156" s="374" t="s">
        <v>1652</v>
      </c>
      <c r="P156" s="374" t="s">
        <v>754</v>
      </c>
    </row>
    <row r="157" spans="1:16" ht="12.75">
      <c r="A157">
        <v>150</v>
      </c>
      <c r="B157" s="557">
        <v>3299</v>
      </c>
      <c r="C157" t="s">
        <v>4481</v>
      </c>
      <c r="D157" s="107" t="s">
        <v>2439</v>
      </c>
      <c r="E157" s="540">
        <v>7432</v>
      </c>
      <c r="F157" s="556">
        <v>1184</v>
      </c>
      <c r="G157" s="541">
        <v>159.26</v>
      </c>
      <c r="H157" s="560">
        <v>0.1</v>
      </c>
      <c r="I157" s="107">
        <v>47</v>
      </c>
      <c r="K157" s="370">
        <v>480</v>
      </c>
      <c r="L157" s="371" t="s">
        <v>1653</v>
      </c>
      <c r="M157" s="372" t="s">
        <v>751</v>
      </c>
      <c r="N157" s="373" t="s">
        <v>1654</v>
      </c>
      <c r="O157" s="374" t="s">
        <v>1655</v>
      </c>
      <c r="P157" s="374" t="s">
        <v>754</v>
      </c>
    </row>
    <row r="158" spans="1:16" ht="12.75">
      <c r="A158">
        <v>151</v>
      </c>
      <c r="B158" s="557" t="s">
        <v>4482</v>
      </c>
      <c r="C158" t="s">
        <v>4483</v>
      </c>
      <c r="D158" s="107" t="s">
        <v>2441</v>
      </c>
      <c r="E158" s="540">
        <v>1</v>
      </c>
      <c r="F158" s="556">
        <v>1182</v>
      </c>
      <c r="G158" s="541">
        <v>1182100</v>
      </c>
      <c r="H158" s="560">
        <v>0.1</v>
      </c>
      <c r="I158" s="107">
        <v>1</v>
      </c>
      <c r="K158" s="370">
        <v>481</v>
      </c>
      <c r="L158" s="371" t="s">
        <v>1656</v>
      </c>
      <c r="M158" s="372" t="s">
        <v>751</v>
      </c>
      <c r="N158" s="373" t="s">
        <v>1657</v>
      </c>
      <c r="O158" s="374" t="s">
        <v>1658</v>
      </c>
      <c r="P158" s="374" t="s">
        <v>754</v>
      </c>
    </row>
    <row r="159" spans="1:16" ht="12.75">
      <c r="A159">
        <v>152</v>
      </c>
      <c r="B159" s="557">
        <v>3298</v>
      </c>
      <c r="C159" t="s">
        <v>4484</v>
      </c>
      <c r="D159" s="107" t="s">
        <v>2439</v>
      </c>
      <c r="E159" s="540">
        <v>1489</v>
      </c>
      <c r="F159" s="556">
        <v>1179</v>
      </c>
      <c r="G159" s="541">
        <v>791.52</v>
      </c>
      <c r="H159" s="560">
        <v>0.1</v>
      </c>
      <c r="I159" s="107">
        <v>6</v>
      </c>
      <c r="K159" s="370">
        <v>482</v>
      </c>
      <c r="L159" s="371" t="s">
        <v>3045</v>
      </c>
      <c r="M159" s="372" t="s">
        <v>751</v>
      </c>
      <c r="N159" s="373" t="s">
        <v>3046</v>
      </c>
      <c r="O159" s="374" t="s">
        <v>3047</v>
      </c>
      <c r="P159" s="374" t="s">
        <v>754</v>
      </c>
    </row>
    <row r="160" spans="1:16" ht="12.75">
      <c r="A160">
        <v>153</v>
      </c>
      <c r="B160" s="557" t="s">
        <v>4192</v>
      </c>
      <c r="C160" t="s">
        <v>4485</v>
      </c>
      <c r="D160" s="107" t="s">
        <v>1772</v>
      </c>
      <c r="E160" s="540">
        <v>6608</v>
      </c>
      <c r="F160" s="556">
        <v>1146</v>
      </c>
      <c r="G160" s="541">
        <v>173.46</v>
      </c>
      <c r="H160" s="560">
        <v>0.1</v>
      </c>
      <c r="I160" s="107">
        <v>1</v>
      </c>
      <c r="K160" s="370">
        <v>490</v>
      </c>
      <c r="L160" s="371" t="s">
        <v>3048</v>
      </c>
      <c r="M160" s="372" t="s">
        <v>751</v>
      </c>
      <c r="N160" s="373" t="s">
        <v>3049</v>
      </c>
      <c r="O160" s="374" t="s">
        <v>3050</v>
      </c>
      <c r="P160" s="374" t="s">
        <v>754</v>
      </c>
    </row>
    <row r="161" spans="1:16" ht="12.75">
      <c r="A161">
        <v>154</v>
      </c>
      <c r="B161" s="557">
        <v>309</v>
      </c>
      <c r="C161" t="s">
        <v>4486</v>
      </c>
      <c r="D161" s="107" t="s">
        <v>1771</v>
      </c>
      <c r="E161" s="540">
        <v>10925</v>
      </c>
      <c r="F161" s="556">
        <v>1145</v>
      </c>
      <c r="G161" s="541">
        <v>104.79</v>
      </c>
      <c r="H161" s="560">
        <v>0.1</v>
      </c>
      <c r="I161" s="107">
        <v>4</v>
      </c>
      <c r="K161" s="370">
        <v>491</v>
      </c>
      <c r="L161" s="371" t="s">
        <v>3051</v>
      </c>
      <c r="M161" s="372" t="s">
        <v>751</v>
      </c>
      <c r="N161" s="373" t="s">
        <v>3052</v>
      </c>
      <c r="O161" s="374" t="s">
        <v>3053</v>
      </c>
      <c r="P161" s="374" t="s">
        <v>754</v>
      </c>
    </row>
    <row r="162" spans="1:16" ht="12.75">
      <c r="A162">
        <v>155</v>
      </c>
      <c r="B162" s="557">
        <v>15112</v>
      </c>
      <c r="C162" t="s">
        <v>4487</v>
      </c>
      <c r="D162" s="107" t="s">
        <v>2439</v>
      </c>
      <c r="E162" s="540">
        <v>7397</v>
      </c>
      <c r="F162" s="556">
        <v>1114</v>
      </c>
      <c r="G162" s="541">
        <v>150.56</v>
      </c>
      <c r="H162" s="560">
        <v>0.09</v>
      </c>
      <c r="I162" s="107">
        <v>5</v>
      </c>
      <c r="K162" s="370">
        <v>492</v>
      </c>
      <c r="L162" s="371" t="s">
        <v>3054</v>
      </c>
      <c r="M162" s="372" t="s">
        <v>751</v>
      </c>
      <c r="N162" s="373" t="s">
        <v>3055</v>
      </c>
      <c r="O162" s="374" t="s">
        <v>3056</v>
      </c>
      <c r="P162" s="374" t="s">
        <v>754</v>
      </c>
    </row>
    <row r="163" spans="1:16" ht="12.75">
      <c r="A163">
        <v>156</v>
      </c>
      <c r="B163" s="557" t="s">
        <v>4488</v>
      </c>
      <c r="C163" t="s">
        <v>4489</v>
      </c>
      <c r="D163" s="107" t="s">
        <v>2439</v>
      </c>
      <c r="E163" s="540">
        <v>8563</v>
      </c>
      <c r="F163" s="556">
        <v>1078</v>
      </c>
      <c r="G163" s="541">
        <v>125.87</v>
      </c>
      <c r="H163" s="560">
        <v>0.09</v>
      </c>
      <c r="I163" s="107">
        <v>1</v>
      </c>
      <c r="K163" s="370">
        <v>494</v>
      </c>
      <c r="L163" s="371" t="s">
        <v>3057</v>
      </c>
      <c r="M163" s="372" t="s">
        <v>751</v>
      </c>
      <c r="N163" s="373" t="s">
        <v>3058</v>
      </c>
      <c r="O163" s="374" t="s">
        <v>3059</v>
      </c>
      <c r="P163" s="374" t="s">
        <v>754</v>
      </c>
    </row>
    <row r="164" spans="1:16" ht="12.75">
      <c r="A164">
        <v>157</v>
      </c>
      <c r="B164" s="557">
        <v>2381</v>
      </c>
      <c r="C164" t="s">
        <v>4490</v>
      </c>
      <c r="D164" s="107" t="s">
        <v>2439</v>
      </c>
      <c r="E164" s="540">
        <v>492299</v>
      </c>
      <c r="F164" s="556">
        <v>1071</v>
      </c>
      <c r="G164" s="541">
        <v>2.18</v>
      </c>
      <c r="H164" s="560">
        <v>0.09</v>
      </c>
      <c r="I164" s="107">
        <v>98</v>
      </c>
      <c r="K164" s="370">
        <v>495</v>
      </c>
      <c r="L164" s="371" t="s">
        <v>3060</v>
      </c>
      <c r="M164" s="372" t="s">
        <v>751</v>
      </c>
      <c r="N164" s="373" t="s">
        <v>3061</v>
      </c>
      <c r="O164" s="374" t="s">
        <v>3062</v>
      </c>
      <c r="P164" s="374" t="s">
        <v>754</v>
      </c>
    </row>
    <row r="165" spans="1:16" ht="12.75">
      <c r="A165">
        <v>158</v>
      </c>
      <c r="B165" s="557">
        <v>40099</v>
      </c>
      <c r="C165" t="s">
        <v>4491</v>
      </c>
      <c r="D165" s="107" t="s">
        <v>1772</v>
      </c>
      <c r="E165" s="540">
        <v>12455</v>
      </c>
      <c r="F165" s="556">
        <v>1069</v>
      </c>
      <c r="G165" s="541">
        <v>85.84</v>
      </c>
      <c r="H165" s="560">
        <v>0.09</v>
      </c>
      <c r="I165" s="107">
        <v>1</v>
      </c>
      <c r="K165" s="370">
        <v>496</v>
      </c>
      <c r="L165" s="371" t="s">
        <v>3063</v>
      </c>
      <c r="M165" s="372" t="s">
        <v>751</v>
      </c>
      <c r="N165" s="373" t="s">
        <v>3064</v>
      </c>
      <c r="O165" s="374" t="s">
        <v>3065</v>
      </c>
      <c r="P165" s="374" t="s">
        <v>754</v>
      </c>
    </row>
    <row r="166" spans="1:16" ht="12.75">
      <c r="A166">
        <v>159</v>
      </c>
      <c r="B166" s="557" t="s">
        <v>4229</v>
      </c>
      <c r="C166" t="s">
        <v>4492</v>
      </c>
      <c r="D166" s="107" t="s">
        <v>2439</v>
      </c>
      <c r="E166">
        <v>1822</v>
      </c>
      <c r="F166" s="556">
        <v>1066</v>
      </c>
      <c r="G166" s="541">
        <v>585</v>
      </c>
      <c r="H166" s="560">
        <v>0.09</v>
      </c>
      <c r="I166" s="107">
        <v>1</v>
      </c>
      <c r="K166" s="370">
        <v>497</v>
      </c>
      <c r="L166" s="371" t="s">
        <v>3066</v>
      </c>
      <c r="M166" s="372" t="s">
        <v>751</v>
      </c>
      <c r="N166" s="373" t="s">
        <v>3067</v>
      </c>
      <c r="O166" s="374" t="s">
        <v>3068</v>
      </c>
      <c r="P166" s="374" t="s">
        <v>754</v>
      </c>
    </row>
    <row r="167" spans="1:16" ht="12.75">
      <c r="A167">
        <v>160</v>
      </c>
      <c r="B167" s="557">
        <v>1811</v>
      </c>
      <c r="C167" t="s">
        <v>4493</v>
      </c>
      <c r="D167" s="107" t="s">
        <v>2439</v>
      </c>
      <c r="E167">
        <v>31182</v>
      </c>
      <c r="F167" s="556">
        <v>1046</v>
      </c>
      <c r="G167" s="541">
        <v>33.56</v>
      </c>
      <c r="H167" s="560">
        <v>0.09</v>
      </c>
      <c r="I167" s="107">
        <v>10</v>
      </c>
      <c r="K167" s="370">
        <v>498</v>
      </c>
      <c r="L167" s="371" t="s">
        <v>3069</v>
      </c>
      <c r="M167" s="372" t="s">
        <v>751</v>
      </c>
      <c r="N167" s="373" t="s">
        <v>3070</v>
      </c>
      <c r="O167" s="374" t="s">
        <v>3071</v>
      </c>
      <c r="P167" s="374" t="s">
        <v>754</v>
      </c>
    </row>
    <row r="168" spans="1:16" ht="12.75">
      <c r="A168">
        <v>161</v>
      </c>
      <c r="B168" s="557">
        <v>530</v>
      </c>
      <c r="C168" t="s">
        <v>4494</v>
      </c>
      <c r="D168" s="107" t="s">
        <v>2439</v>
      </c>
      <c r="E168">
        <v>4219</v>
      </c>
      <c r="F168" s="556">
        <v>1039</v>
      </c>
      <c r="G168" s="541">
        <v>246.3</v>
      </c>
      <c r="H168" s="560">
        <v>0.09</v>
      </c>
      <c r="I168" s="107">
        <v>3</v>
      </c>
      <c r="K168" s="370">
        <v>499</v>
      </c>
      <c r="L168" s="371" t="s">
        <v>3072</v>
      </c>
      <c r="M168" s="372" t="s">
        <v>751</v>
      </c>
      <c r="N168" s="373" t="s">
        <v>3073</v>
      </c>
      <c r="O168" s="374" t="s">
        <v>3074</v>
      </c>
      <c r="P168" s="374" t="s">
        <v>754</v>
      </c>
    </row>
    <row r="169" spans="1:16" ht="12.75">
      <c r="A169">
        <v>162</v>
      </c>
      <c r="B169" s="557">
        <v>2701</v>
      </c>
      <c r="C169" t="s">
        <v>4495</v>
      </c>
      <c r="D169" s="107" t="s">
        <v>2439</v>
      </c>
      <c r="E169">
        <v>480091</v>
      </c>
      <c r="F169" s="556">
        <v>1038</v>
      </c>
      <c r="G169" s="541">
        <v>2.16</v>
      </c>
      <c r="H169" s="560">
        <v>0.09</v>
      </c>
      <c r="I169" s="107">
        <v>82</v>
      </c>
      <c r="K169" s="370">
        <v>500</v>
      </c>
      <c r="L169" s="371" t="s">
        <v>3075</v>
      </c>
      <c r="M169" s="372" t="s">
        <v>751</v>
      </c>
      <c r="N169" s="373" t="s">
        <v>3076</v>
      </c>
      <c r="O169" s="374" t="s">
        <v>3077</v>
      </c>
      <c r="P169" s="374" t="s">
        <v>754</v>
      </c>
    </row>
    <row r="170" spans="1:16" ht="12.75">
      <c r="A170">
        <v>163</v>
      </c>
      <c r="B170" s="557" t="s">
        <v>4101</v>
      </c>
      <c r="C170" t="s">
        <v>4496</v>
      </c>
      <c r="D170" s="107" t="s">
        <v>1771</v>
      </c>
      <c r="E170">
        <v>132909</v>
      </c>
      <c r="F170" s="556">
        <v>1035</v>
      </c>
      <c r="G170" s="541">
        <v>7.79</v>
      </c>
      <c r="H170" s="560">
        <v>0.09</v>
      </c>
      <c r="I170" s="107">
        <v>9</v>
      </c>
      <c r="K170" s="370">
        <v>501</v>
      </c>
      <c r="L170" s="371" t="s">
        <v>3078</v>
      </c>
      <c r="M170" s="372" t="s">
        <v>751</v>
      </c>
      <c r="N170" s="373" t="s">
        <v>3079</v>
      </c>
      <c r="O170" s="374" t="s">
        <v>3080</v>
      </c>
      <c r="P170" s="374" t="s">
        <v>754</v>
      </c>
    </row>
    <row r="171" spans="1:16" ht="12.75">
      <c r="A171">
        <v>164</v>
      </c>
      <c r="B171" s="557" t="s">
        <v>4497</v>
      </c>
      <c r="C171" t="s">
        <v>4498</v>
      </c>
      <c r="D171" s="107" t="s">
        <v>2439</v>
      </c>
      <c r="E171">
        <v>1397</v>
      </c>
      <c r="F171" s="556">
        <v>1035</v>
      </c>
      <c r="G171" s="541">
        <v>740.93</v>
      </c>
      <c r="H171" s="560">
        <v>0.09</v>
      </c>
      <c r="I171" s="107">
        <v>2</v>
      </c>
      <c r="K171" s="370">
        <v>502</v>
      </c>
      <c r="L171" s="371" t="s">
        <v>3081</v>
      </c>
      <c r="M171" s="372" t="s">
        <v>751</v>
      </c>
      <c r="N171" s="373" t="s">
        <v>3082</v>
      </c>
      <c r="O171" s="374" t="s">
        <v>3083</v>
      </c>
      <c r="P171" s="374" t="s">
        <v>754</v>
      </c>
    </row>
    <row r="172" spans="1:16" ht="12.75">
      <c r="A172">
        <v>165</v>
      </c>
      <c r="B172" s="557" t="s">
        <v>4125</v>
      </c>
      <c r="C172" t="s">
        <v>4499</v>
      </c>
      <c r="D172" s="107" t="s">
        <v>3416</v>
      </c>
      <c r="E172" s="540">
        <v>366956</v>
      </c>
      <c r="F172" s="556">
        <v>1027</v>
      </c>
      <c r="G172" s="541">
        <v>2.8</v>
      </c>
      <c r="H172" s="560">
        <v>0.09</v>
      </c>
      <c r="I172" s="107">
        <v>32</v>
      </c>
      <c r="K172" s="370">
        <v>503</v>
      </c>
      <c r="L172" s="371" t="s">
        <v>3091</v>
      </c>
      <c r="M172" s="372" t="s">
        <v>754</v>
      </c>
      <c r="N172" s="373" t="s">
        <v>3092</v>
      </c>
      <c r="O172" s="374" t="s">
        <v>3091</v>
      </c>
      <c r="P172" s="374" t="s">
        <v>754</v>
      </c>
    </row>
    <row r="173" spans="1:16" ht="12.75">
      <c r="A173">
        <v>166</v>
      </c>
      <c r="B173" s="557">
        <v>15114</v>
      </c>
      <c r="C173" t="s">
        <v>4500</v>
      </c>
      <c r="D173" s="107" t="s">
        <v>2439</v>
      </c>
      <c r="E173" s="540">
        <v>3996</v>
      </c>
      <c r="F173" s="556">
        <v>1023</v>
      </c>
      <c r="G173" s="541">
        <v>256.07</v>
      </c>
      <c r="H173" s="560">
        <v>0.09</v>
      </c>
      <c r="I173" s="107">
        <v>2</v>
      </c>
      <c r="K173" s="370">
        <v>505</v>
      </c>
      <c r="L173" s="371" t="s">
        <v>3093</v>
      </c>
      <c r="M173" s="372" t="s">
        <v>751</v>
      </c>
      <c r="N173" s="373" t="s">
        <v>3094</v>
      </c>
      <c r="O173" s="374" t="s">
        <v>3095</v>
      </c>
      <c r="P173" s="374" t="s">
        <v>754</v>
      </c>
    </row>
    <row r="174" spans="1:16" ht="12.75">
      <c r="A174">
        <v>167</v>
      </c>
      <c r="B174" s="557">
        <v>2003</v>
      </c>
      <c r="C174" t="s">
        <v>4501</v>
      </c>
      <c r="D174" s="107" t="s">
        <v>2439</v>
      </c>
      <c r="E174" s="540">
        <v>223679</v>
      </c>
      <c r="F174" s="556">
        <v>1021</v>
      </c>
      <c r="G174" s="541">
        <v>4.57</v>
      </c>
      <c r="H174" s="560">
        <v>0.09</v>
      </c>
      <c r="I174" s="107">
        <v>17</v>
      </c>
      <c r="K174" s="370">
        <v>506</v>
      </c>
      <c r="L174" s="371" t="s">
        <v>3096</v>
      </c>
      <c r="M174" s="372" t="s">
        <v>751</v>
      </c>
      <c r="N174" s="373" t="s">
        <v>3097</v>
      </c>
      <c r="O174" s="374" t="s">
        <v>3098</v>
      </c>
      <c r="P174" s="374" t="s">
        <v>754</v>
      </c>
    </row>
    <row r="175" spans="1:16" ht="12.75">
      <c r="A175">
        <v>168</v>
      </c>
      <c r="B175" s="557" t="s">
        <v>4127</v>
      </c>
      <c r="C175" t="s">
        <v>4502</v>
      </c>
      <c r="D175" s="107" t="s">
        <v>1771</v>
      </c>
      <c r="E175" s="540">
        <v>1213</v>
      </c>
      <c r="F175" s="556">
        <v>1021</v>
      </c>
      <c r="G175" s="541">
        <v>841.67</v>
      </c>
      <c r="H175" s="560">
        <v>0.09</v>
      </c>
      <c r="I175" s="107">
        <v>9</v>
      </c>
      <c r="K175" s="370">
        <v>507</v>
      </c>
      <c r="L175" s="371" t="s">
        <v>3099</v>
      </c>
      <c r="M175" s="372" t="s">
        <v>751</v>
      </c>
      <c r="N175" s="373" t="s">
        <v>3100</v>
      </c>
      <c r="O175" s="374" t="s">
        <v>3101</v>
      </c>
      <c r="P175" s="374" t="s">
        <v>754</v>
      </c>
    </row>
    <row r="176" spans="1:16" ht="12.75">
      <c r="A176">
        <v>169</v>
      </c>
      <c r="B176" s="557">
        <v>6405</v>
      </c>
      <c r="C176" t="s">
        <v>4503</v>
      </c>
      <c r="D176" s="107" t="s">
        <v>3416</v>
      </c>
      <c r="E176" s="540">
        <v>26033</v>
      </c>
      <c r="F176" s="556">
        <v>996</v>
      </c>
      <c r="G176" s="541">
        <v>38.26</v>
      </c>
      <c r="H176" s="560">
        <v>0.08</v>
      </c>
      <c r="I176" s="107">
        <v>7</v>
      </c>
      <c r="K176" s="370">
        <v>508</v>
      </c>
      <c r="L176" s="371" t="s">
        <v>3102</v>
      </c>
      <c r="M176" s="372" t="s">
        <v>751</v>
      </c>
      <c r="N176" s="373" t="s">
        <v>3103</v>
      </c>
      <c r="O176" s="374" t="s">
        <v>3104</v>
      </c>
      <c r="P176" s="374" t="s">
        <v>754</v>
      </c>
    </row>
    <row r="177" spans="1:16" ht="12.75">
      <c r="A177">
        <v>170</v>
      </c>
      <c r="B177" s="557">
        <v>8019</v>
      </c>
      <c r="C177" t="s">
        <v>4504</v>
      </c>
      <c r="D177" s="107" t="s">
        <v>1771</v>
      </c>
      <c r="E177" s="540">
        <v>20197</v>
      </c>
      <c r="F177" s="556">
        <v>992</v>
      </c>
      <c r="G177" s="541">
        <v>49.12</v>
      </c>
      <c r="H177" s="560">
        <v>0.08</v>
      </c>
      <c r="I177" s="107">
        <v>28</v>
      </c>
      <c r="K177" s="370">
        <v>509</v>
      </c>
      <c r="L177" s="371" t="s">
        <v>3105</v>
      </c>
      <c r="M177" s="372" t="s">
        <v>751</v>
      </c>
      <c r="N177" s="373" t="s">
        <v>3106</v>
      </c>
      <c r="O177" s="374" t="s">
        <v>3107</v>
      </c>
      <c r="P177" s="374" t="s">
        <v>754</v>
      </c>
    </row>
    <row r="178" spans="1:16" ht="12.75">
      <c r="A178">
        <v>171</v>
      </c>
      <c r="B178" s="557">
        <v>4881</v>
      </c>
      <c r="C178" t="s">
        <v>4505</v>
      </c>
      <c r="D178" s="107" t="s">
        <v>2522</v>
      </c>
      <c r="E178" s="540">
        <v>21</v>
      </c>
      <c r="F178" s="556">
        <v>989</v>
      </c>
      <c r="G178" s="541">
        <v>47076.76</v>
      </c>
      <c r="H178" s="560">
        <v>0.08</v>
      </c>
      <c r="I178" s="107">
        <v>4</v>
      </c>
      <c r="K178" s="370">
        <v>510</v>
      </c>
      <c r="L178" s="371" t="s">
        <v>3108</v>
      </c>
      <c r="M178" s="372" t="s">
        <v>751</v>
      </c>
      <c r="N178" s="373" t="s">
        <v>3109</v>
      </c>
      <c r="O178" s="374" t="s">
        <v>3110</v>
      </c>
      <c r="P178" s="374" t="s">
        <v>754</v>
      </c>
    </row>
    <row r="179" spans="1:16" ht="12.75">
      <c r="A179">
        <v>172</v>
      </c>
      <c r="B179" s="557" t="s">
        <v>3987</v>
      </c>
      <c r="C179" t="s">
        <v>4506</v>
      </c>
      <c r="D179" s="107" t="s">
        <v>1773</v>
      </c>
      <c r="E179" s="540">
        <v>799</v>
      </c>
      <c r="F179" s="556">
        <v>982</v>
      </c>
      <c r="G179" s="541">
        <v>1229.07</v>
      </c>
      <c r="H179" s="560">
        <v>0.08</v>
      </c>
      <c r="I179" s="107">
        <v>16</v>
      </c>
      <c r="K179" s="370">
        <v>511</v>
      </c>
      <c r="L179" s="371" t="s">
        <v>3111</v>
      </c>
      <c r="M179" s="372" t="s">
        <v>751</v>
      </c>
      <c r="N179" s="373" t="s">
        <v>3112</v>
      </c>
      <c r="O179" s="374" t="s">
        <v>3113</v>
      </c>
      <c r="P179" s="374" t="s">
        <v>754</v>
      </c>
    </row>
    <row r="180" spans="1:16" ht="12.75">
      <c r="A180">
        <v>173</v>
      </c>
      <c r="B180" s="557" t="s">
        <v>4507</v>
      </c>
      <c r="C180" t="s">
        <v>4508</v>
      </c>
      <c r="D180" s="107" t="s">
        <v>2441</v>
      </c>
      <c r="E180">
        <v>1</v>
      </c>
      <c r="F180" s="556">
        <v>980</v>
      </c>
      <c r="G180" s="541">
        <v>980202</v>
      </c>
      <c r="H180" s="560">
        <v>0.08</v>
      </c>
      <c r="I180" s="107">
        <v>1</v>
      </c>
      <c r="K180" s="370">
        <v>512</v>
      </c>
      <c r="L180" s="371" t="s">
        <v>3114</v>
      </c>
      <c r="M180" s="372" t="s">
        <v>751</v>
      </c>
      <c r="N180" s="373" t="s">
        <v>3115</v>
      </c>
      <c r="O180" s="374" t="s">
        <v>3116</v>
      </c>
      <c r="P180" s="374" t="s">
        <v>754</v>
      </c>
    </row>
    <row r="181" spans="1:16" ht="12.75">
      <c r="A181">
        <v>174</v>
      </c>
      <c r="B181" s="557">
        <v>6438</v>
      </c>
      <c r="C181" t="s">
        <v>4509</v>
      </c>
      <c r="D181" s="107" t="s">
        <v>2522</v>
      </c>
      <c r="E181" s="540">
        <v>6</v>
      </c>
      <c r="F181" s="556">
        <v>967</v>
      </c>
      <c r="G181" s="541">
        <v>161207</v>
      </c>
      <c r="H181" s="560">
        <v>0.08</v>
      </c>
      <c r="I181" s="107">
        <v>1</v>
      </c>
      <c r="K181" s="370">
        <v>520</v>
      </c>
      <c r="L181" s="371" t="s">
        <v>177</v>
      </c>
      <c r="M181" s="372" t="s">
        <v>751</v>
      </c>
      <c r="N181" s="373" t="s">
        <v>178</v>
      </c>
      <c r="O181" s="374" t="s">
        <v>179</v>
      </c>
      <c r="P181" s="374" t="s">
        <v>754</v>
      </c>
    </row>
    <row r="182" spans="1:16" ht="12.75">
      <c r="A182">
        <v>175</v>
      </c>
      <c r="B182" s="557">
        <v>6445</v>
      </c>
      <c r="C182" t="s">
        <v>4510</v>
      </c>
      <c r="D182" s="107" t="s">
        <v>2522</v>
      </c>
      <c r="E182" s="540">
        <v>5</v>
      </c>
      <c r="F182" s="556">
        <v>960</v>
      </c>
      <c r="G182" s="541">
        <v>192041.5</v>
      </c>
      <c r="H182" s="560">
        <v>0.08</v>
      </c>
      <c r="I182" s="107">
        <v>1</v>
      </c>
      <c r="K182" s="370">
        <v>521</v>
      </c>
      <c r="L182" s="371" t="s">
        <v>180</v>
      </c>
      <c r="M182" s="372" t="s">
        <v>751</v>
      </c>
      <c r="N182" s="373" t="s">
        <v>181</v>
      </c>
      <c r="O182" s="374" t="s">
        <v>182</v>
      </c>
      <c r="P182" s="374" t="s">
        <v>754</v>
      </c>
    </row>
    <row r="183" spans="1:16" ht="12.75">
      <c r="A183">
        <v>176</v>
      </c>
      <c r="B183" s="557">
        <v>8002</v>
      </c>
      <c r="C183" t="s">
        <v>4511</v>
      </c>
      <c r="D183" s="107" t="s">
        <v>1773</v>
      </c>
      <c r="E183" s="540">
        <v>16841</v>
      </c>
      <c r="F183" s="556">
        <v>959</v>
      </c>
      <c r="G183" s="541">
        <v>56.97</v>
      </c>
      <c r="H183" s="560">
        <v>0.08</v>
      </c>
      <c r="I183" s="107">
        <v>23</v>
      </c>
      <c r="K183" s="370">
        <v>522</v>
      </c>
      <c r="L183" s="371" t="s">
        <v>183</v>
      </c>
      <c r="M183" s="372" t="s">
        <v>751</v>
      </c>
      <c r="N183" s="373" t="s">
        <v>184</v>
      </c>
      <c r="O183" s="374" t="s">
        <v>185</v>
      </c>
      <c r="P183" s="374" t="s">
        <v>754</v>
      </c>
    </row>
    <row r="184" spans="1:16" ht="12.75">
      <c r="A184">
        <v>177</v>
      </c>
      <c r="B184" s="557">
        <v>1480</v>
      </c>
      <c r="C184" t="s">
        <v>4512</v>
      </c>
      <c r="D184" s="107" t="s">
        <v>2522</v>
      </c>
      <c r="E184" s="540">
        <v>136</v>
      </c>
      <c r="F184" s="556">
        <v>953</v>
      </c>
      <c r="G184" s="541">
        <v>7007.31</v>
      </c>
      <c r="H184" s="560">
        <v>0.08</v>
      </c>
      <c r="I184" s="107">
        <v>13</v>
      </c>
      <c r="K184" s="370">
        <v>523</v>
      </c>
      <c r="L184" s="371" t="s">
        <v>186</v>
      </c>
      <c r="M184" s="372" t="s">
        <v>751</v>
      </c>
      <c r="N184" s="373" t="s">
        <v>187</v>
      </c>
      <c r="O184" s="374" t="s">
        <v>188</v>
      </c>
      <c r="P184" s="374" t="s">
        <v>754</v>
      </c>
    </row>
    <row r="185" spans="1:16" ht="12.75">
      <c r="A185">
        <v>178</v>
      </c>
      <c r="B185" s="557">
        <v>468</v>
      </c>
      <c r="C185" t="s">
        <v>4513</v>
      </c>
      <c r="D185" s="107" t="s">
        <v>2439</v>
      </c>
      <c r="E185" s="540">
        <v>4591</v>
      </c>
      <c r="F185" s="556">
        <v>952</v>
      </c>
      <c r="G185" s="541">
        <v>207.45</v>
      </c>
      <c r="H185" s="560">
        <v>0.08</v>
      </c>
      <c r="I185" s="107">
        <v>21</v>
      </c>
      <c r="K185" s="370">
        <v>524</v>
      </c>
      <c r="L185" s="371" t="s">
        <v>189</v>
      </c>
      <c r="M185" s="372" t="s">
        <v>751</v>
      </c>
      <c r="N185" s="373" t="s">
        <v>190</v>
      </c>
      <c r="O185" s="374" t="s">
        <v>191</v>
      </c>
      <c r="P185" s="374" t="s">
        <v>754</v>
      </c>
    </row>
    <row r="186" spans="1:16" ht="12.75">
      <c r="A186">
        <v>179</v>
      </c>
      <c r="B186" s="557">
        <v>6410</v>
      </c>
      <c r="C186" t="s">
        <v>4514</v>
      </c>
      <c r="D186" s="107" t="s">
        <v>2439</v>
      </c>
      <c r="E186" s="540">
        <v>42169</v>
      </c>
      <c r="F186" s="556">
        <v>952</v>
      </c>
      <c r="G186" s="541">
        <v>22.57</v>
      </c>
      <c r="H186" s="560">
        <v>0.08</v>
      </c>
      <c r="I186" s="107">
        <v>54</v>
      </c>
      <c r="K186" s="370">
        <v>525</v>
      </c>
      <c r="L186" s="371" t="s">
        <v>192</v>
      </c>
      <c r="M186" s="372" t="s">
        <v>751</v>
      </c>
      <c r="N186" s="373" t="s">
        <v>193</v>
      </c>
      <c r="O186" s="374" t="s">
        <v>194</v>
      </c>
      <c r="P186" s="374" t="s">
        <v>754</v>
      </c>
    </row>
    <row r="187" spans="1:16" ht="12.75">
      <c r="A187">
        <v>180</v>
      </c>
      <c r="B187" s="557">
        <v>8904</v>
      </c>
      <c r="C187" t="s">
        <v>4515</v>
      </c>
      <c r="D187" s="107" t="s">
        <v>2522</v>
      </c>
      <c r="E187" s="540">
        <v>26</v>
      </c>
      <c r="F187" s="556">
        <v>945</v>
      </c>
      <c r="G187" s="541">
        <v>36341.72</v>
      </c>
      <c r="H187" s="560">
        <v>0.08</v>
      </c>
      <c r="I187" s="107">
        <v>1</v>
      </c>
      <c r="K187" s="370">
        <v>526</v>
      </c>
      <c r="L187" s="371" t="s">
        <v>195</v>
      </c>
      <c r="M187" s="372" t="s">
        <v>751</v>
      </c>
      <c r="N187" s="373" t="s">
        <v>196</v>
      </c>
      <c r="O187" s="374" t="s">
        <v>197</v>
      </c>
      <c r="P187" s="374" t="s">
        <v>754</v>
      </c>
    </row>
    <row r="188" spans="1:16" ht="12.75">
      <c r="A188">
        <v>181</v>
      </c>
      <c r="B188" s="557">
        <v>2069</v>
      </c>
      <c r="C188" t="s">
        <v>4516</v>
      </c>
      <c r="D188" s="107" t="s">
        <v>1772</v>
      </c>
      <c r="E188" s="540">
        <v>9093</v>
      </c>
      <c r="F188" s="556">
        <v>944</v>
      </c>
      <c r="G188" s="541">
        <v>103.82</v>
      </c>
      <c r="H188" s="560">
        <v>0.08</v>
      </c>
      <c r="I188" s="107">
        <v>6</v>
      </c>
      <c r="K188" s="370">
        <v>528</v>
      </c>
      <c r="L188" s="371" t="s">
        <v>198</v>
      </c>
      <c r="M188" s="372" t="s">
        <v>751</v>
      </c>
      <c r="N188" s="373" t="s">
        <v>199</v>
      </c>
      <c r="O188" s="374" t="s">
        <v>200</v>
      </c>
      <c r="P188" s="374" t="s">
        <v>754</v>
      </c>
    </row>
    <row r="189" spans="1:16" ht="12.75">
      <c r="A189">
        <v>182</v>
      </c>
      <c r="B189" s="557">
        <v>2084</v>
      </c>
      <c r="C189" t="s">
        <v>4517</v>
      </c>
      <c r="D189" s="107" t="s">
        <v>1772</v>
      </c>
      <c r="E189" s="540">
        <v>8682</v>
      </c>
      <c r="F189" s="556">
        <v>942</v>
      </c>
      <c r="G189" s="541">
        <v>108.52</v>
      </c>
      <c r="H189" s="560">
        <v>0.08</v>
      </c>
      <c r="I189" s="107">
        <v>7</v>
      </c>
      <c r="K189" s="370">
        <v>529</v>
      </c>
      <c r="L189" s="371" t="s">
        <v>201</v>
      </c>
      <c r="M189" s="372" t="s">
        <v>751</v>
      </c>
      <c r="N189" s="373" t="s">
        <v>202</v>
      </c>
      <c r="O189" s="374" t="s">
        <v>203</v>
      </c>
      <c r="P189" s="374" t="s">
        <v>754</v>
      </c>
    </row>
    <row r="190" spans="1:16" ht="12.75">
      <c r="A190">
        <v>183</v>
      </c>
      <c r="B190" s="557" t="s">
        <v>3988</v>
      </c>
      <c r="C190" t="s">
        <v>4518</v>
      </c>
      <c r="D190" s="107" t="s">
        <v>1771</v>
      </c>
      <c r="E190" s="540">
        <v>8901</v>
      </c>
      <c r="F190" s="556">
        <v>935</v>
      </c>
      <c r="G190" s="541">
        <v>105.04</v>
      </c>
      <c r="H190" s="560">
        <v>0.08</v>
      </c>
      <c r="I190" s="107">
        <v>7</v>
      </c>
      <c r="K190" s="370">
        <v>530</v>
      </c>
      <c r="L190" s="371" t="s">
        <v>204</v>
      </c>
      <c r="M190" s="372" t="s">
        <v>751</v>
      </c>
      <c r="N190" s="373" t="s">
        <v>205</v>
      </c>
      <c r="O190" s="374" t="s">
        <v>206</v>
      </c>
      <c r="P190" s="374" t="s">
        <v>754</v>
      </c>
    </row>
    <row r="191" spans="1:16" ht="12.75">
      <c r="A191">
        <v>184</v>
      </c>
      <c r="B191" s="557" t="s">
        <v>4123</v>
      </c>
      <c r="C191" t="s">
        <v>4519</v>
      </c>
      <c r="D191" s="107" t="s">
        <v>1771</v>
      </c>
      <c r="E191" s="540">
        <v>10890</v>
      </c>
      <c r="F191" s="556">
        <v>932</v>
      </c>
      <c r="G191" s="541">
        <v>85.6</v>
      </c>
      <c r="H191" s="560">
        <v>0.08</v>
      </c>
      <c r="I191" s="107">
        <v>4</v>
      </c>
      <c r="K191" s="370">
        <v>531</v>
      </c>
      <c r="L191" s="371" t="s">
        <v>207</v>
      </c>
      <c r="M191" s="372" t="s">
        <v>751</v>
      </c>
      <c r="N191" s="373" t="s">
        <v>208</v>
      </c>
      <c r="O191" s="374" t="s">
        <v>209</v>
      </c>
      <c r="P191" s="374" t="s">
        <v>754</v>
      </c>
    </row>
    <row r="192" spans="1:16" ht="12.75">
      <c r="A192">
        <v>185</v>
      </c>
      <c r="B192" s="557" t="s">
        <v>4520</v>
      </c>
      <c r="C192" t="s">
        <v>4521</v>
      </c>
      <c r="D192" s="107" t="s">
        <v>2439</v>
      </c>
      <c r="E192">
        <v>91685</v>
      </c>
      <c r="F192" s="556">
        <v>927</v>
      </c>
      <c r="G192" s="541">
        <v>10.11</v>
      </c>
      <c r="H192" s="560">
        <v>0.08</v>
      </c>
      <c r="I192" s="107">
        <v>4</v>
      </c>
      <c r="K192" s="370">
        <v>532</v>
      </c>
      <c r="L192" s="371" t="s">
        <v>210</v>
      </c>
      <c r="M192" s="372" t="s">
        <v>751</v>
      </c>
      <c r="N192" s="373" t="s">
        <v>211</v>
      </c>
      <c r="O192" s="374" t="s">
        <v>212</v>
      </c>
      <c r="P192" s="374" t="s">
        <v>754</v>
      </c>
    </row>
    <row r="193" spans="1:16" ht="12.75">
      <c r="A193">
        <v>186</v>
      </c>
      <c r="B193" s="557">
        <v>8670</v>
      </c>
      <c r="C193" t="s">
        <v>4522</v>
      </c>
      <c r="D193" s="107" t="s">
        <v>2439</v>
      </c>
      <c r="E193">
        <v>2707</v>
      </c>
      <c r="F193" s="556">
        <v>921</v>
      </c>
      <c r="G193" s="541">
        <v>340.26</v>
      </c>
      <c r="H193" s="560">
        <v>0.08</v>
      </c>
      <c r="I193" s="107">
        <v>3</v>
      </c>
      <c r="K193" s="370">
        <v>533</v>
      </c>
      <c r="L193" s="371" t="s">
        <v>2637</v>
      </c>
      <c r="M193" s="372" t="s">
        <v>751</v>
      </c>
      <c r="N193" s="373" t="s">
        <v>2638</v>
      </c>
      <c r="O193" s="374" t="s">
        <v>2639</v>
      </c>
      <c r="P193" s="374" t="s">
        <v>754</v>
      </c>
    </row>
    <row r="194" spans="1:16" ht="12.75">
      <c r="A194">
        <v>187</v>
      </c>
      <c r="B194" s="557">
        <v>8033</v>
      </c>
      <c r="C194" t="s">
        <v>4523</v>
      </c>
      <c r="D194" s="107" t="s">
        <v>2439</v>
      </c>
      <c r="E194">
        <v>3529</v>
      </c>
      <c r="F194" s="556">
        <v>894</v>
      </c>
      <c r="G194" s="541">
        <v>253.3</v>
      </c>
      <c r="H194" s="560">
        <v>0.07</v>
      </c>
      <c r="I194" s="107">
        <v>24</v>
      </c>
      <c r="K194" s="370">
        <v>534</v>
      </c>
      <c r="L194" s="371" t="s">
        <v>2640</v>
      </c>
      <c r="M194" s="372" t="s">
        <v>751</v>
      </c>
      <c r="N194" s="373" t="s">
        <v>2641</v>
      </c>
      <c r="O194" s="374" t="s">
        <v>2642</v>
      </c>
      <c r="P194" s="374" t="s">
        <v>754</v>
      </c>
    </row>
    <row r="195" spans="1:16" ht="12.75">
      <c r="A195">
        <v>188</v>
      </c>
      <c r="B195" s="557" t="s">
        <v>3480</v>
      </c>
      <c r="C195" t="s">
        <v>4524</v>
      </c>
      <c r="D195" s="107" t="s">
        <v>2439</v>
      </c>
      <c r="E195">
        <v>229652</v>
      </c>
      <c r="F195" s="556">
        <v>887</v>
      </c>
      <c r="G195" s="541">
        <v>3.86</v>
      </c>
      <c r="H195" s="560">
        <v>0.07</v>
      </c>
      <c r="I195" s="107">
        <v>46</v>
      </c>
      <c r="K195" s="370">
        <v>535</v>
      </c>
      <c r="L195" s="371" t="s">
        <v>2643</v>
      </c>
      <c r="M195" s="372" t="s">
        <v>751</v>
      </c>
      <c r="N195" s="373" t="s">
        <v>2644</v>
      </c>
      <c r="O195" s="374" t="s">
        <v>3018</v>
      </c>
      <c r="P195" s="374" t="s">
        <v>754</v>
      </c>
    </row>
    <row r="196" spans="1:16" ht="12.75">
      <c r="A196">
        <v>189</v>
      </c>
      <c r="B196" s="557" t="s">
        <v>4525</v>
      </c>
      <c r="C196" t="s">
        <v>4526</v>
      </c>
      <c r="D196" s="107" t="s">
        <v>2439</v>
      </c>
      <c r="E196">
        <v>151</v>
      </c>
      <c r="F196" s="556">
        <v>868</v>
      </c>
      <c r="G196" s="541">
        <v>5750</v>
      </c>
      <c r="H196" s="560">
        <v>0.07</v>
      </c>
      <c r="I196" s="107">
        <v>1</v>
      </c>
      <c r="K196" s="370">
        <v>536</v>
      </c>
      <c r="L196" s="371" t="s">
        <v>3019</v>
      </c>
      <c r="M196" s="372" t="s">
        <v>751</v>
      </c>
      <c r="N196" s="373" t="s">
        <v>3020</v>
      </c>
      <c r="O196" s="374" t="s">
        <v>3021</v>
      </c>
      <c r="P196" s="374" t="s">
        <v>754</v>
      </c>
    </row>
    <row r="197" spans="1:16" ht="12.75">
      <c r="A197">
        <v>190</v>
      </c>
      <c r="B197" s="557">
        <v>2603</v>
      </c>
      <c r="C197" t="s">
        <v>4527</v>
      </c>
      <c r="D197" s="107" t="s">
        <v>1772</v>
      </c>
      <c r="E197">
        <v>356300</v>
      </c>
      <c r="F197" s="556">
        <v>855</v>
      </c>
      <c r="G197" s="541">
        <v>2.4</v>
      </c>
      <c r="H197" s="560">
        <v>0.07</v>
      </c>
      <c r="I197" s="107">
        <v>45</v>
      </c>
      <c r="K197" s="370">
        <v>537</v>
      </c>
      <c r="L197" s="371" t="s">
        <v>3022</v>
      </c>
      <c r="M197" s="372" t="s">
        <v>751</v>
      </c>
      <c r="N197" s="373" t="s">
        <v>3023</v>
      </c>
      <c r="O197" s="374" t="s">
        <v>3024</v>
      </c>
      <c r="P197" s="374" t="s">
        <v>754</v>
      </c>
    </row>
    <row r="198" spans="1:16" ht="12.75">
      <c r="A198">
        <v>191</v>
      </c>
      <c r="B198" s="557" t="s">
        <v>3989</v>
      </c>
      <c r="C198" t="s">
        <v>4528</v>
      </c>
      <c r="D198" s="107" t="s">
        <v>3416</v>
      </c>
      <c r="E198" s="540">
        <v>17987</v>
      </c>
      <c r="F198" s="556">
        <v>834</v>
      </c>
      <c r="G198" s="541">
        <v>46.35</v>
      </c>
      <c r="H198" s="560">
        <v>0.07</v>
      </c>
      <c r="I198" s="107">
        <v>76</v>
      </c>
      <c r="K198" s="370">
        <v>538</v>
      </c>
      <c r="L198" s="371" t="s">
        <v>3025</v>
      </c>
      <c r="M198" s="372" t="s">
        <v>751</v>
      </c>
      <c r="N198" s="373" t="s">
        <v>3026</v>
      </c>
      <c r="O198" s="374" t="s">
        <v>3027</v>
      </c>
      <c r="P198" s="374" t="s">
        <v>754</v>
      </c>
    </row>
    <row r="199" spans="1:16" ht="12.75">
      <c r="A199">
        <v>192</v>
      </c>
      <c r="B199" s="557">
        <v>8669</v>
      </c>
      <c r="C199" t="s">
        <v>4529</v>
      </c>
      <c r="D199" s="107" t="s">
        <v>2439</v>
      </c>
      <c r="E199" s="540">
        <v>2545</v>
      </c>
      <c r="F199" s="556">
        <v>815</v>
      </c>
      <c r="G199" s="541">
        <v>320.2</v>
      </c>
      <c r="H199" s="560">
        <v>0.07</v>
      </c>
      <c r="I199" s="107">
        <v>2</v>
      </c>
      <c r="K199" s="370">
        <v>539</v>
      </c>
      <c r="L199" s="371" t="s">
        <v>3028</v>
      </c>
      <c r="M199" s="372" t="s">
        <v>751</v>
      </c>
      <c r="N199" s="373" t="s">
        <v>3029</v>
      </c>
      <c r="O199" s="374" t="s">
        <v>3030</v>
      </c>
      <c r="P199" s="374" t="s">
        <v>754</v>
      </c>
    </row>
    <row r="200" spans="1:16" ht="12.75">
      <c r="A200">
        <v>193</v>
      </c>
      <c r="B200" s="557">
        <v>6490</v>
      </c>
      <c r="C200" t="s">
        <v>4530</v>
      </c>
      <c r="D200" s="107" t="s">
        <v>1773</v>
      </c>
      <c r="E200" s="540">
        <v>989</v>
      </c>
      <c r="F200" s="556">
        <v>803</v>
      </c>
      <c r="G200" s="541">
        <v>812.24</v>
      </c>
      <c r="H200" s="560">
        <v>0.07</v>
      </c>
      <c r="I200" s="107">
        <v>17</v>
      </c>
      <c r="K200" s="370">
        <v>540</v>
      </c>
      <c r="L200" s="371" t="s">
        <v>3031</v>
      </c>
      <c r="M200" s="372" t="s">
        <v>751</v>
      </c>
      <c r="N200" s="373" t="s">
        <v>3032</v>
      </c>
      <c r="O200" s="374" t="s">
        <v>3033</v>
      </c>
      <c r="P200" s="374" t="s">
        <v>754</v>
      </c>
    </row>
    <row r="201" spans="1:16" ht="12.75">
      <c r="A201">
        <v>194</v>
      </c>
      <c r="B201" s="557" t="s">
        <v>3992</v>
      </c>
      <c r="C201" t="s">
        <v>4531</v>
      </c>
      <c r="D201" s="107" t="s">
        <v>1773</v>
      </c>
      <c r="E201" s="540">
        <v>1539</v>
      </c>
      <c r="F201" s="556">
        <v>799</v>
      </c>
      <c r="G201" s="541">
        <v>519.09</v>
      </c>
      <c r="H201" s="560">
        <v>0.07</v>
      </c>
      <c r="I201" s="107">
        <v>4</v>
      </c>
      <c r="K201" s="370">
        <v>541</v>
      </c>
      <c r="L201" s="371" t="s">
        <v>3034</v>
      </c>
      <c r="M201" s="372" t="s">
        <v>751</v>
      </c>
      <c r="N201" s="373" t="s">
        <v>3035</v>
      </c>
      <c r="O201" s="374" t="s">
        <v>3036</v>
      </c>
      <c r="P201" s="374" t="s">
        <v>754</v>
      </c>
    </row>
    <row r="202" spans="1:16" ht="12.75">
      <c r="A202">
        <v>195</v>
      </c>
      <c r="B202" s="557">
        <v>17011</v>
      </c>
      <c r="C202" t="s">
        <v>4532</v>
      </c>
      <c r="D202" s="107" t="s">
        <v>2439</v>
      </c>
      <c r="E202" s="540">
        <v>3884</v>
      </c>
      <c r="F202" s="556">
        <v>788</v>
      </c>
      <c r="G202" s="541">
        <v>203</v>
      </c>
      <c r="H202" s="560">
        <v>0.07</v>
      </c>
      <c r="I202" s="107">
        <v>1</v>
      </c>
      <c r="K202" s="370">
        <v>542</v>
      </c>
      <c r="L202" s="371" t="s">
        <v>3037</v>
      </c>
      <c r="M202" s="372" t="s">
        <v>751</v>
      </c>
      <c r="N202" s="373" t="s">
        <v>3038</v>
      </c>
      <c r="O202" s="374" t="s">
        <v>3039</v>
      </c>
      <c r="P202" s="374" t="s">
        <v>754</v>
      </c>
    </row>
    <row r="203" spans="1:16" ht="12.75">
      <c r="A203">
        <v>196</v>
      </c>
      <c r="B203" s="557" t="s">
        <v>4098</v>
      </c>
      <c r="C203" t="s">
        <v>4533</v>
      </c>
      <c r="D203" s="107" t="s">
        <v>1772</v>
      </c>
      <c r="E203" s="540">
        <v>861902</v>
      </c>
      <c r="F203" s="556">
        <v>784</v>
      </c>
      <c r="G203" s="541">
        <v>0.91</v>
      </c>
      <c r="H203" s="560">
        <v>0.07</v>
      </c>
      <c r="I203" s="107">
        <v>11</v>
      </c>
      <c r="K203" s="370">
        <v>551</v>
      </c>
      <c r="L203" s="371" t="s">
        <v>3040</v>
      </c>
      <c r="M203" s="372" t="s">
        <v>751</v>
      </c>
      <c r="N203" s="373" t="s">
        <v>3041</v>
      </c>
      <c r="O203" s="374" t="s">
        <v>3042</v>
      </c>
      <c r="P203" s="374" t="s">
        <v>754</v>
      </c>
    </row>
    <row r="204" spans="1:16" ht="12.75">
      <c r="A204">
        <v>197</v>
      </c>
      <c r="B204" s="557">
        <v>8550</v>
      </c>
      <c r="C204" t="s">
        <v>4534</v>
      </c>
      <c r="D204" s="107" t="s">
        <v>1772</v>
      </c>
      <c r="E204" s="540">
        <v>32036</v>
      </c>
      <c r="F204" s="556">
        <v>769</v>
      </c>
      <c r="G204" s="541">
        <v>24</v>
      </c>
      <c r="H204" s="560">
        <v>0.06</v>
      </c>
      <c r="I204" s="107">
        <v>1</v>
      </c>
      <c r="K204" s="370">
        <v>552</v>
      </c>
      <c r="L204" s="371" t="s">
        <v>3043</v>
      </c>
      <c r="M204" s="372" t="s">
        <v>751</v>
      </c>
      <c r="N204" s="373" t="s">
        <v>3044</v>
      </c>
      <c r="O204" s="374" t="s">
        <v>2690</v>
      </c>
      <c r="P204" s="374" t="s">
        <v>754</v>
      </c>
    </row>
    <row r="205" spans="1:16" ht="12.75">
      <c r="A205">
        <v>198</v>
      </c>
      <c r="B205" s="557">
        <v>440</v>
      </c>
      <c r="C205" t="s">
        <v>4535</v>
      </c>
      <c r="D205" s="107" t="s">
        <v>2439</v>
      </c>
      <c r="E205" s="540">
        <v>10302</v>
      </c>
      <c r="F205" s="556">
        <v>761</v>
      </c>
      <c r="G205" s="541">
        <v>73.85</v>
      </c>
      <c r="H205" s="560">
        <v>0.06</v>
      </c>
      <c r="I205" s="107">
        <v>35</v>
      </c>
      <c r="K205" s="370">
        <v>553</v>
      </c>
      <c r="L205" s="371" t="s">
        <v>2691</v>
      </c>
      <c r="M205" s="372" t="s">
        <v>751</v>
      </c>
      <c r="N205" s="373" t="s">
        <v>2692</v>
      </c>
      <c r="O205" s="374" t="s">
        <v>2693</v>
      </c>
      <c r="P205" s="374" t="s">
        <v>754</v>
      </c>
    </row>
    <row r="206" spans="1:16" ht="12.75">
      <c r="A206">
        <v>199</v>
      </c>
      <c r="B206" s="557" t="s">
        <v>4536</v>
      </c>
      <c r="C206" t="s">
        <v>4537</v>
      </c>
      <c r="D206" s="107" t="s">
        <v>2439</v>
      </c>
      <c r="E206" s="540">
        <v>139</v>
      </c>
      <c r="F206" s="556">
        <v>754</v>
      </c>
      <c r="G206" s="541">
        <v>5425</v>
      </c>
      <c r="H206" s="560">
        <v>0.06</v>
      </c>
      <c r="I206" s="107">
        <v>1</v>
      </c>
      <c r="K206" s="370">
        <v>554</v>
      </c>
      <c r="L206" s="371" t="s">
        <v>2694</v>
      </c>
      <c r="M206" s="372" t="s">
        <v>751</v>
      </c>
      <c r="N206" s="373" t="s">
        <v>2695</v>
      </c>
      <c r="O206" s="374" t="s">
        <v>2696</v>
      </c>
      <c r="P206" s="374" t="s">
        <v>754</v>
      </c>
    </row>
    <row r="207" spans="1:16" ht="12.75">
      <c r="A207">
        <v>200</v>
      </c>
      <c r="B207" s="557">
        <v>8662</v>
      </c>
      <c r="C207" t="s">
        <v>4538</v>
      </c>
      <c r="D207" s="107" t="s">
        <v>2439</v>
      </c>
      <c r="E207" s="540">
        <v>2082</v>
      </c>
      <c r="F207" s="556">
        <v>744</v>
      </c>
      <c r="G207" s="541">
        <v>357.4</v>
      </c>
      <c r="H207" s="560">
        <v>0.06</v>
      </c>
      <c r="I207" s="107">
        <v>7</v>
      </c>
      <c r="K207" s="370">
        <v>556</v>
      </c>
      <c r="L207" s="371" t="s">
        <v>2697</v>
      </c>
      <c r="M207" s="372" t="s">
        <v>751</v>
      </c>
      <c r="N207" s="373" t="s">
        <v>2698</v>
      </c>
      <c r="O207" s="374" t="s">
        <v>2699</v>
      </c>
      <c r="P207" s="374" t="s">
        <v>754</v>
      </c>
    </row>
    <row r="208" spans="1:16" ht="12.75">
      <c r="A208">
        <v>201</v>
      </c>
      <c r="B208" s="557">
        <v>526</v>
      </c>
      <c r="C208" t="s">
        <v>4539</v>
      </c>
      <c r="D208" s="107" t="s">
        <v>2439</v>
      </c>
      <c r="E208" s="540">
        <v>4461</v>
      </c>
      <c r="F208" s="556">
        <v>737</v>
      </c>
      <c r="G208" s="541">
        <v>165.32</v>
      </c>
      <c r="H208" s="560">
        <v>0.06</v>
      </c>
      <c r="I208" s="107">
        <v>13</v>
      </c>
      <c r="K208" s="370">
        <v>558</v>
      </c>
      <c r="L208" s="371" t="s">
        <v>2700</v>
      </c>
      <c r="M208" s="372" t="s">
        <v>751</v>
      </c>
      <c r="N208" s="373" t="s">
        <v>2701</v>
      </c>
      <c r="O208" s="374" t="s">
        <v>2702</v>
      </c>
      <c r="P208" s="374" t="s">
        <v>754</v>
      </c>
    </row>
    <row r="209" spans="1:16" ht="12.75">
      <c r="A209">
        <v>202</v>
      </c>
      <c r="B209" s="557">
        <v>2690</v>
      </c>
      <c r="C209" t="s">
        <v>4540</v>
      </c>
      <c r="D209" s="107" t="s">
        <v>1773</v>
      </c>
      <c r="E209" s="540">
        <v>2211</v>
      </c>
      <c r="F209" s="556">
        <v>734</v>
      </c>
      <c r="G209" s="541">
        <v>332.07</v>
      </c>
      <c r="H209" s="560">
        <v>0.06</v>
      </c>
      <c r="I209" s="107">
        <v>19</v>
      </c>
      <c r="K209" s="370">
        <v>559</v>
      </c>
      <c r="L209" s="371" t="s">
        <v>2703</v>
      </c>
      <c r="M209" s="372" t="s">
        <v>751</v>
      </c>
      <c r="N209" s="373" t="s">
        <v>2704</v>
      </c>
      <c r="O209" s="374" t="s">
        <v>2705</v>
      </c>
      <c r="P209" s="374" t="s">
        <v>754</v>
      </c>
    </row>
    <row r="210" spans="1:16" ht="12.75">
      <c r="A210">
        <v>203</v>
      </c>
      <c r="B210" s="557">
        <v>20</v>
      </c>
      <c r="C210" t="s">
        <v>4541</v>
      </c>
      <c r="D210" s="107" t="s">
        <v>1771</v>
      </c>
      <c r="E210" s="540">
        <v>20891</v>
      </c>
      <c r="F210" s="556">
        <v>719</v>
      </c>
      <c r="G210" s="541">
        <v>34.41</v>
      </c>
      <c r="H210" s="560">
        <v>0.06</v>
      </c>
      <c r="I210" s="107">
        <v>27</v>
      </c>
      <c r="K210" s="370">
        <v>560</v>
      </c>
      <c r="L210" s="371" t="s">
        <v>2706</v>
      </c>
      <c r="M210" s="372" t="s">
        <v>751</v>
      </c>
      <c r="N210" s="373" t="s">
        <v>2707</v>
      </c>
      <c r="O210" s="374" t="s">
        <v>2708</v>
      </c>
      <c r="P210" s="374" t="s">
        <v>754</v>
      </c>
    </row>
    <row r="211" spans="1:16" ht="12.75">
      <c r="A211">
        <v>204</v>
      </c>
      <c r="B211" s="557">
        <v>8510</v>
      </c>
      <c r="C211" t="s">
        <v>4542</v>
      </c>
      <c r="D211" s="107" t="s">
        <v>1772</v>
      </c>
      <c r="E211" s="540">
        <v>44260</v>
      </c>
      <c r="F211" s="556">
        <v>714</v>
      </c>
      <c r="G211" s="541">
        <v>16.13</v>
      </c>
      <c r="H211" s="560">
        <v>0.06</v>
      </c>
      <c r="I211" s="107">
        <v>8</v>
      </c>
      <c r="K211" s="370">
        <v>561</v>
      </c>
      <c r="L211" s="371" t="s">
        <v>2388</v>
      </c>
      <c r="M211" s="372" t="s">
        <v>751</v>
      </c>
      <c r="N211" s="373" t="s">
        <v>2389</v>
      </c>
      <c r="O211" s="374" t="s">
        <v>2390</v>
      </c>
      <c r="P211" s="374" t="s">
        <v>754</v>
      </c>
    </row>
    <row r="212" spans="1:16" ht="12.75">
      <c r="A212">
        <v>205</v>
      </c>
      <c r="B212" s="557">
        <v>1875</v>
      </c>
      <c r="C212" t="s">
        <v>4543</v>
      </c>
      <c r="D212" s="107" t="s">
        <v>2439</v>
      </c>
      <c r="E212" s="540">
        <v>15914</v>
      </c>
      <c r="F212" s="556">
        <v>706</v>
      </c>
      <c r="G212" s="541">
        <v>44.39</v>
      </c>
      <c r="H212" s="560">
        <v>0.06</v>
      </c>
      <c r="I212" s="107">
        <v>17</v>
      </c>
      <c r="K212" s="370">
        <v>562</v>
      </c>
      <c r="L212" s="371" t="s">
        <v>2391</v>
      </c>
      <c r="M212" s="372" t="s">
        <v>751</v>
      </c>
      <c r="N212" s="373" t="s">
        <v>2392</v>
      </c>
      <c r="O212" s="374" t="s">
        <v>2393</v>
      </c>
      <c r="P212" s="374" t="s">
        <v>754</v>
      </c>
    </row>
    <row r="213" spans="1:16" ht="12.75">
      <c r="A213">
        <v>206</v>
      </c>
      <c r="B213" s="557">
        <v>15056</v>
      </c>
      <c r="C213" t="s">
        <v>4544</v>
      </c>
      <c r="D213" s="107" t="s">
        <v>2439</v>
      </c>
      <c r="E213">
        <v>2750</v>
      </c>
      <c r="F213" s="556">
        <v>703</v>
      </c>
      <c r="G213" s="541">
        <v>255.5</v>
      </c>
      <c r="H213" s="560">
        <v>0.06</v>
      </c>
      <c r="I213" s="107">
        <v>1</v>
      </c>
      <c r="K213" s="370">
        <v>563</v>
      </c>
      <c r="L213" s="371" t="s">
        <v>2394</v>
      </c>
      <c r="M213" s="372" t="s">
        <v>751</v>
      </c>
      <c r="N213" s="373" t="s">
        <v>2395</v>
      </c>
      <c r="O213" s="374" t="s">
        <v>2396</v>
      </c>
      <c r="P213" s="374" t="s">
        <v>754</v>
      </c>
    </row>
    <row r="214" spans="1:16" ht="12.75">
      <c r="A214">
        <v>207</v>
      </c>
      <c r="B214" s="557">
        <v>466</v>
      </c>
      <c r="C214" t="s">
        <v>4545</v>
      </c>
      <c r="D214" s="107" t="s">
        <v>2439</v>
      </c>
      <c r="E214">
        <v>4344</v>
      </c>
      <c r="F214" s="556">
        <v>693</v>
      </c>
      <c r="G214" s="541">
        <v>159.62</v>
      </c>
      <c r="H214" s="560">
        <v>0.06</v>
      </c>
      <c r="I214" s="107">
        <v>21</v>
      </c>
      <c r="K214" s="370">
        <v>564</v>
      </c>
      <c r="L214" s="371" t="s">
        <v>2397</v>
      </c>
      <c r="M214" s="372" t="s">
        <v>751</v>
      </c>
      <c r="N214" s="373" t="s">
        <v>2398</v>
      </c>
      <c r="O214" s="374" t="s">
        <v>2399</v>
      </c>
      <c r="P214" s="374" t="s">
        <v>754</v>
      </c>
    </row>
    <row r="215" spans="1:16" ht="12.75">
      <c r="A215">
        <v>208</v>
      </c>
      <c r="B215" s="557">
        <v>2058</v>
      </c>
      <c r="C215" t="s">
        <v>4546</v>
      </c>
      <c r="D215" s="107" t="s">
        <v>1772</v>
      </c>
      <c r="E215">
        <v>35353</v>
      </c>
      <c r="F215" s="556">
        <v>692</v>
      </c>
      <c r="G215" s="541">
        <v>19.59</v>
      </c>
      <c r="H215" s="560">
        <v>0.06</v>
      </c>
      <c r="I215" s="107">
        <v>5</v>
      </c>
      <c r="K215" s="370">
        <v>565</v>
      </c>
      <c r="L215" s="371" t="s">
        <v>2400</v>
      </c>
      <c r="M215" s="372" t="s">
        <v>751</v>
      </c>
      <c r="N215" s="373" t="s">
        <v>2401</v>
      </c>
      <c r="O215" s="374" t="s">
        <v>2402</v>
      </c>
      <c r="P215" s="374" t="s">
        <v>754</v>
      </c>
    </row>
    <row r="216" spans="1:16" ht="12.75">
      <c r="A216">
        <v>209</v>
      </c>
      <c r="B216" s="557">
        <v>5990</v>
      </c>
      <c r="C216" t="s">
        <v>4547</v>
      </c>
      <c r="D216" s="107" t="s">
        <v>1772</v>
      </c>
      <c r="E216">
        <v>91789</v>
      </c>
      <c r="F216" s="556">
        <v>689</v>
      </c>
      <c r="G216" s="541">
        <v>7.51</v>
      </c>
      <c r="H216" s="560">
        <v>0.06</v>
      </c>
      <c r="I216" s="107">
        <v>19</v>
      </c>
      <c r="K216" s="370">
        <v>566</v>
      </c>
      <c r="L216" s="371" t="s">
        <v>2403</v>
      </c>
      <c r="M216" s="372" t="s">
        <v>751</v>
      </c>
      <c r="N216" s="373" t="s">
        <v>2404</v>
      </c>
      <c r="O216" s="374" t="s">
        <v>2405</v>
      </c>
      <c r="P216" s="374" t="s">
        <v>754</v>
      </c>
    </row>
    <row r="217" spans="1:16" ht="12.75">
      <c r="A217">
        <v>210</v>
      </c>
      <c r="B217" s="557" t="s">
        <v>4091</v>
      </c>
      <c r="C217" t="s">
        <v>4548</v>
      </c>
      <c r="D217" s="107" t="s">
        <v>1771</v>
      </c>
      <c r="E217">
        <v>4064</v>
      </c>
      <c r="F217" s="556">
        <v>672</v>
      </c>
      <c r="G217" s="541">
        <v>165.4</v>
      </c>
      <c r="H217" s="560">
        <v>0.06</v>
      </c>
      <c r="I217" s="107">
        <v>1</v>
      </c>
      <c r="K217" s="370">
        <v>567</v>
      </c>
      <c r="L217" s="371" t="s">
        <v>2406</v>
      </c>
      <c r="M217" s="372" t="s">
        <v>751</v>
      </c>
      <c r="N217" s="373" t="s">
        <v>2407</v>
      </c>
      <c r="O217" s="374" t="s">
        <v>2408</v>
      </c>
      <c r="P217" s="374" t="s">
        <v>754</v>
      </c>
    </row>
    <row r="218" spans="1:16" ht="12.75">
      <c r="A218">
        <v>211</v>
      </c>
      <c r="B218" s="557" t="s">
        <v>4256</v>
      </c>
      <c r="C218" t="s">
        <v>4549</v>
      </c>
      <c r="D218" s="107" t="s">
        <v>1771</v>
      </c>
      <c r="E218" s="540">
        <v>6426</v>
      </c>
      <c r="F218" s="556">
        <v>668</v>
      </c>
      <c r="G218" s="541">
        <v>104</v>
      </c>
      <c r="H218" s="560">
        <v>0.06</v>
      </c>
      <c r="I218" s="107">
        <v>1</v>
      </c>
      <c r="K218" s="370">
        <v>568</v>
      </c>
      <c r="L218" s="371" t="s">
        <v>2409</v>
      </c>
      <c r="M218" s="372" t="s">
        <v>751</v>
      </c>
      <c r="N218" s="373" t="s">
        <v>2410</v>
      </c>
      <c r="O218" s="374" t="s">
        <v>2411</v>
      </c>
      <c r="P218" s="374" t="s">
        <v>754</v>
      </c>
    </row>
    <row r="219" spans="1:16" ht="12.75">
      <c r="A219">
        <v>212</v>
      </c>
      <c r="B219" s="557">
        <v>6568</v>
      </c>
      <c r="C219" t="s">
        <v>4550</v>
      </c>
      <c r="D219" s="107" t="s">
        <v>2439</v>
      </c>
      <c r="E219" s="540">
        <v>49734</v>
      </c>
      <c r="F219" s="556">
        <v>667</v>
      </c>
      <c r="G219" s="541">
        <v>13.42</v>
      </c>
      <c r="H219" s="560">
        <v>0.06</v>
      </c>
      <c r="I219" s="107">
        <v>340</v>
      </c>
      <c r="K219" s="370">
        <v>569</v>
      </c>
      <c r="L219" s="371" t="s">
        <v>2412</v>
      </c>
      <c r="M219" s="372" t="s">
        <v>751</v>
      </c>
      <c r="N219" s="373" t="s">
        <v>2413</v>
      </c>
      <c r="O219" s="374" t="s">
        <v>2414</v>
      </c>
      <c r="P219" s="374" t="s">
        <v>754</v>
      </c>
    </row>
    <row r="220" spans="1:16" ht="12.75">
      <c r="A220">
        <v>213</v>
      </c>
      <c r="B220" s="557">
        <v>6574</v>
      </c>
      <c r="C220" t="s">
        <v>4551</v>
      </c>
      <c r="D220" s="107" t="s">
        <v>2522</v>
      </c>
      <c r="E220" s="540">
        <v>5145</v>
      </c>
      <c r="F220" s="556">
        <v>658</v>
      </c>
      <c r="G220" s="541">
        <v>127.93</v>
      </c>
      <c r="H220" s="560">
        <v>0.06</v>
      </c>
      <c r="I220" s="107">
        <v>222</v>
      </c>
      <c r="K220" s="370">
        <v>570</v>
      </c>
      <c r="L220" s="371" t="s">
        <v>2415</v>
      </c>
      <c r="M220" s="372" t="s">
        <v>751</v>
      </c>
      <c r="N220" s="373" t="s">
        <v>2416</v>
      </c>
      <c r="O220" s="374" t="s">
        <v>2417</v>
      </c>
      <c r="P220" s="374" t="s">
        <v>754</v>
      </c>
    </row>
    <row r="221" spans="1:16" ht="12.75">
      <c r="A221">
        <v>214</v>
      </c>
      <c r="B221" s="557">
        <v>358</v>
      </c>
      <c r="C221" t="s">
        <v>4552</v>
      </c>
      <c r="D221" s="107" t="s">
        <v>1771</v>
      </c>
      <c r="E221" s="540">
        <v>1001</v>
      </c>
      <c r="F221" s="556">
        <v>645</v>
      </c>
      <c r="G221" s="541">
        <v>644.77</v>
      </c>
      <c r="H221" s="560">
        <v>0.05</v>
      </c>
      <c r="I221" s="107">
        <v>11</v>
      </c>
      <c r="K221" s="370">
        <v>571</v>
      </c>
      <c r="L221" s="371" t="s">
        <v>2418</v>
      </c>
      <c r="M221" s="372" t="s">
        <v>751</v>
      </c>
      <c r="N221" s="373" t="s">
        <v>2419</v>
      </c>
      <c r="O221" s="374" t="s">
        <v>2420</v>
      </c>
      <c r="P221" s="374" t="s">
        <v>754</v>
      </c>
    </row>
    <row r="222" spans="1:16" ht="12.75">
      <c r="A222">
        <v>215</v>
      </c>
      <c r="B222" s="557">
        <v>2391</v>
      </c>
      <c r="C222" t="s">
        <v>4553</v>
      </c>
      <c r="D222" s="107" t="s">
        <v>2522</v>
      </c>
      <c r="E222" s="540">
        <v>171</v>
      </c>
      <c r="F222" s="556">
        <v>643</v>
      </c>
      <c r="G222" s="541">
        <v>3758.31</v>
      </c>
      <c r="H222" s="560">
        <v>0.05</v>
      </c>
      <c r="I222" s="107">
        <v>34</v>
      </c>
      <c r="K222" s="370">
        <v>572</v>
      </c>
      <c r="L222" s="371" t="s">
        <v>2421</v>
      </c>
      <c r="M222" s="372" t="s">
        <v>751</v>
      </c>
      <c r="N222" s="373" t="s">
        <v>2422</v>
      </c>
      <c r="O222" s="374" t="s">
        <v>2423</v>
      </c>
      <c r="P222" s="374" t="s">
        <v>754</v>
      </c>
    </row>
    <row r="223" spans="1:16" ht="12.75">
      <c r="A223">
        <v>216</v>
      </c>
      <c r="B223" s="557" t="s">
        <v>3986</v>
      </c>
      <c r="C223" t="s">
        <v>4554</v>
      </c>
      <c r="D223" s="107" t="s">
        <v>1772</v>
      </c>
      <c r="E223" s="540">
        <v>22514</v>
      </c>
      <c r="F223" s="556">
        <v>640</v>
      </c>
      <c r="G223" s="541">
        <v>28.43</v>
      </c>
      <c r="H223" s="560">
        <v>0.05</v>
      </c>
      <c r="I223" s="107">
        <v>4</v>
      </c>
      <c r="K223" s="370">
        <v>980</v>
      </c>
      <c r="L223" s="371" t="s">
        <v>2424</v>
      </c>
      <c r="M223" s="372" t="s">
        <v>751</v>
      </c>
      <c r="N223" s="373" t="s">
        <v>2425</v>
      </c>
      <c r="O223" s="374" t="s">
        <v>2426</v>
      </c>
      <c r="P223" s="374" t="s">
        <v>754</v>
      </c>
    </row>
    <row r="224" spans="1:16" ht="12.75">
      <c r="A224">
        <v>217</v>
      </c>
      <c r="B224" s="557" t="s">
        <v>4095</v>
      </c>
      <c r="C224" t="s">
        <v>4096</v>
      </c>
      <c r="D224" s="107" t="s">
        <v>2444</v>
      </c>
      <c r="E224" s="540">
        <v>51456995</v>
      </c>
      <c r="F224" s="556">
        <v>639</v>
      </c>
      <c r="G224" s="541">
        <v>0.01</v>
      </c>
      <c r="H224" s="560">
        <v>0.05</v>
      </c>
      <c r="I224" s="107">
        <v>28</v>
      </c>
      <c r="K224" s="370">
        <v>981</v>
      </c>
      <c r="L224" s="371" t="s">
        <v>2427</v>
      </c>
      <c r="M224" s="372" t="s">
        <v>751</v>
      </c>
      <c r="N224" s="373" t="s">
        <v>2428</v>
      </c>
      <c r="O224" s="374" t="s">
        <v>654</v>
      </c>
      <c r="P224" s="374" t="s">
        <v>754</v>
      </c>
    </row>
    <row r="225" spans="1:16" ht="12.75">
      <c r="A225">
        <v>218</v>
      </c>
      <c r="B225" s="557" t="s">
        <v>4009</v>
      </c>
      <c r="C225" t="s">
        <v>4555</v>
      </c>
      <c r="D225" s="107" t="s">
        <v>3416</v>
      </c>
      <c r="E225" s="540">
        <v>72142</v>
      </c>
      <c r="F225" s="556">
        <v>633</v>
      </c>
      <c r="G225" s="541">
        <v>8.78</v>
      </c>
      <c r="H225" s="560">
        <v>0.05</v>
      </c>
      <c r="I225" s="107">
        <v>20</v>
      </c>
      <c r="K225" s="370">
        <v>982</v>
      </c>
      <c r="L225" s="371" t="s">
        <v>655</v>
      </c>
      <c r="M225" s="372" t="s">
        <v>751</v>
      </c>
      <c r="N225" s="373" t="s">
        <v>656</v>
      </c>
      <c r="O225" s="374" t="s">
        <v>657</v>
      </c>
      <c r="P225" s="374" t="s">
        <v>754</v>
      </c>
    </row>
    <row r="226" spans="1:16" ht="12.75">
      <c r="A226">
        <v>219</v>
      </c>
      <c r="B226" s="557">
        <v>4932</v>
      </c>
      <c r="C226" t="s">
        <v>4556</v>
      </c>
      <c r="D226" s="107" t="s">
        <v>2522</v>
      </c>
      <c r="E226" s="540">
        <v>124</v>
      </c>
      <c r="F226" s="556">
        <v>631</v>
      </c>
      <c r="G226" s="541">
        <v>5085.62</v>
      </c>
      <c r="H226" s="560">
        <v>0.05</v>
      </c>
      <c r="I226" s="107">
        <v>16</v>
      </c>
      <c r="K226" s="370">
        <v>983</v>
      </c>
      <c r="L226" s="371" t="s">
        <v>658</v>
      </c>
      <c r="M226" s="372" t="s">
        <v>751</v>
      </c>
      <c r="N226" s="373" t="s">
        <v>659</v>
      </c>
      <c r="O226" s="374" t="s">
        <v>660</v>
      </c>
      <c r="P226" s="374" t="s">
        <v>754</v>
      </c>
    </row>
    <row r="227" spans="1:16" ht="12.75">
      <c r="A227">
        <v>220</v>
      </c>
      <c r="B227" s="557">
        <v>528</v>
      </c>
      <c r="C227" t="s">
        <v>4557</v>
      </c>
      <c r="D227" s="107" t="s">
        <v>2439</v>
      </c>
      <c r="E227" s="540">
        <v>3511</v>
      </c>
      <c r="F227" s="556">
        <v>628</v>
      </c>
      <c r="G227" s="541">
        <v>178.71</v>
      </c>
      <c r="H227" s="560">
        <v>0.05</v>
      </c>
      <c r="I227" s="107">
        <v>10</v>
      </c>
      <c r="K227" s="370">
        <v>984</v>
      </c>
      <c r="L227" s="371" t="s">
        <v>661</v>
      </c>
      <c r="M227" s="372" t="s">
        <v>751</v>
      </c>
      <c r="N227" s="373" t="s">
        <v>662</v>
      </c>
      <c r="O227" s="374" t="s">
        <v>663</v>
      </c>
      <c r="P227" s="374" t="s">
        <v>754</v>
      </c>
    </row>
    <row r="228" spans="1:16" ht="12.75">
      <c r="A228">
        <v>221</v>
      </c>
      <c r="B228" s="557">
        <v>6569</v>
      </c>
      <c r="C228" t="s">
        <v>4558</v>
      </c>
      <c r="D228" s="107" t="s">
        <v>3416</v>
      </c>
      <c r="E228" s="540">
        <v>116627</v>
      </c>
      <c r="F228" s="556">
        <v>617</v>
      </c>
      <c r="G228" s="541">
        <v>5.29</v>
      </c>
      <c r="H228" s="560">
        <v>0.05</v>
      </c>
      <c r="I228" s="107">
        <v>100</v>
      </c>
      <c r="K228" s="370">
        <v>985</v>
      </c>
      <c r="L228" s="371" t="s">
        <v>664</v>
      </c>
      <c r="M228" s="372" t="s">
        <v>751</v>
      </c>
      <c r="N228" s="373" t="s">
        <v>665</v>
      </c>
      <c r="O228" s="374" t="s">
        <v>666</v>
      </c>
      <c r="P228" s="374" t="s">
        <v>754</v>
      </c>
    </row>
    <row r="229" spans="1:16" ht="12.75">
      <c r="A229">
        <v>222</v>
      </c>
      <c r="B229" s="557">
        <v>6406</v>
      </c>
      <c r="C229" t="s">
        <v>4559</v>
      </c>
      <c r="D229" s="107" t="s">
        <v>3416</v>
      </c>
      <c r="E229" s="540">
        <v>19580</v>
      </c>
      <c r="F229" s="556">
        <v>610</v>
      </c>
      <c r="G229" s="541">
        <v>31.18</v>
      </c>
      <c r="H229" s="560">
        <v>0.05</v>
      </c>
      <c r="I229" s="107">
        <v>56</v>
      </c>
      <c r="K229" s="370">
        <v>999</v>
      </c>
      <c r="L229" s="371" t="s">
        <v>667</v>
      </c>
      <c r="M229" s="372" t="s">
        <v>751</v>
      </c>
      <c r="N229" s="373" t="s">
        <v>668</v>
      </c>
      <c r="O229" s="374" t="s">
        <v>667</v>
      </c>
      <c r="P229" s="374" t="s">
        <v>754</v>
      </c>
    </row>
    <row r="230" spans="1:16" ht="12.75">
      <c r="A230">
        <v>223</v>
      </c>
      <c r="B230" s="557" t="s">
        <v>4234</v>
      </c>
      <c r="C230" t="s">
        <v>4235</v>
      </c>
      <c r="D230" s="107" t="s">
        <v>4236</v>
      </c>
      <c r="E230" s="540">
        <v>177</v>
      </c>
      <c r="F230" s="556">
        <v>604</v>
      </c>
      <c r="G230" s="541">
        <v>3413.66</v>
      </c>
      <c r="H230" s="560">
        <v>0.05</v>
      </c>
      <c r="I230" s="107">
        <v>19</v>
      </c>
      <c r="K230" s="370">
        <v>1000</v>
      </c>
      <c r="L230" s="371" t="s">
        <v>669</v>
      </c>
      <c r="M230" s="372" t="s">
        <v>751</v>
      </c>
      <c r="N230" s="373" t="s">
        <v>670</v>
      </c>
      <c r="O230" s="374" t="s">
        <v>671</v>
      </c>
      <c r="P230" s="374" t="s">
        <v>754</v>
      </c>
    </row>
    <row r="231" spans="1:16" ht="12.75">
      <c r="A231">
        <v>224</v>
      </c>
      <c r="B231" s="557">
        <v>8668</v>
      </c>
      <c r="C231" t="s">
        <v>4560</v>
      </c>
      <c r="D231" s="107" t="s">
        <v>2439</v>
      </c>
      <c r="E231" s="540">
        <v>1560</v>
      </c>
      <c r="F231" s="556">
        <v>604</v>
      </c>
      <c r="G231" s="541">
        <v>387.38</v>
      </c>
      <c r="H231" s="560">
        <v>0.05</v>
      </c>
      <c r="I231" s="107">
        <v>2</v>
      </c>
      <c r="K231" s="370">
        <v>1001</v>
      </c>
      <c r="L231" s="371" t="s">
        <v>672</v>
      </c>
      <c r="M231" s="372" t="s">
        <v>751</v>
      </c>
      <c r="N231" s="373" t="s">
        <v>673</v>
      </c>
      <c r="O231" s="374" t="s">
        <v>674</v>
      </c>
      <c r="P231" s="374" t="s">
        <v>754</v>
      </c>
    </row>
    <row r="232" spans="1:16" ht="12.75">
      <c r="A232">
        <v>225</v>
      </c>
      <c r="B232" s="557" t="s">
        <v>4077</v>
      </c>
      <c r="C232" t="s">
        <v>4561</v>
      </c>
      <c r="D232" s="107" t="s">
        <v>1772</v>
      </c>
      <c r="E232" s="540">
        <v>40876</v>
      </c>
      <c r="F232" s="556">
        <v>604</v>
      </c>
      <c r="G232" s="541">
        <v>14.77</v>
      </c>
      <c r="H232" s="560">
        <v>0.05</v>
      </c>
      <c r="I232" s="107">
        <v>11</v>
      </c>
      <c r="K232" s="370">
        <v>1002</v>
      </c>
      <c r="L232" s="371" t="s">
        <v>675</v>
      </c>
      <c r="M232" s="372" t="s">
        <v>751</v>
      </c>
      <c r="N232" s="373" t="s">
        <v>676</v>
      </c>
      <c r="O232" s="374" t="s">
        <v>677</v>
      </c>
      <c r="P232" s="374" t="s">
        <v>754</v>
      </c>
    </row>
    <row r="233" spans="1:16" ht="12.75">
      <c r="A233">
        <v>226</v>
      </c>
      <c r="B233" s="557">
        <v>21</v>
      </c>
      <c r="C233" t="s">
        <v>4562</v>
      </c>
      <c r="D233" s="107" t="s">
        <v>1773</v>
      </c>
      <c r="E233" s="540">
        <v>12829</v>
      </c>
      <c r="F233" s="556">
        <v>603</v>
      </c>
      <c r="G233" s="541">
        <v>46.98</v>
      </c>
      <c r="H233" s="560">
        <v>0.05</v>
      </c>
      <c r="I233" s="107">
        <v>6</v>
      </c>
      <c r="K233" s="370">
        <v>1003</v>
      </c>
      <c r="L233" s="371" t="s">
        <v>678</v>
      </c>
      <c r="M233" s="372" t="s">
        <v>751</v>
      </c>
      <c r="N233" s="373" t="s">
        <v>679</v>
      </c>
      <c r="O233" s="374" t="s">
        <v>680</v>
      </c>
      <c r="P233" s="374" t="s">
        <v>754</v>
      </c>
    </row>
    <row r="234" spans="1:16" ht="12.75">
      <c r="A234">
        <v>227</v>
      </c>
      <c r="B234" s="557">
        <v>2696</v>
      </c>
      <c r="C234" t="s">
        <v>4563</v>
      </c>
      <c r="D234" s="107" t="s">
        <v>2439</v>
      </c>
      <c r="E234" s="540">
        <v>2674885</v>
      </c>
      <c r="F234" s="556">
        <v>602</v>
      </c>
      <c r="G234" s="541">
        <v>0.23</v>
      </c>
      <c r="H234" s="560">
        <v>0.05</v>
      </c>
      <c r="I234" s="107">
        <v>66</v>
      </c>
      <c r="K234" s="370">
        <v>1004</v>
      </c>
      <c r="L234" s="371" t="s">
        <v>681</v>
      </c>
      <c r="M234" s="372" t="s">
        <v>751</v>
      </c>
      <c r="N234" s="373" t="s">
        <v>682</v>
      </c>
      <c r="O234" s="374" t="s">
        <v>683</v>
      </c>
      <c r="P234" s="374" t="s">
        <v>754</v>
      </c>
    </row>
    <row r="235" spans="1:16" ht="12.75">
      <c r="A235">
        <v>228</v>
      </c>
      <c r="B235" s="557">
        <v>1691</v>
      </c>
      <c r="C235" t="s">
        <v>4564</v>
      </c>
      <c r="D235" s="107" t="s">
        <v>2522</v>
      </c>
      <c r="E235" s="540">
        <v>97</v>
      </c>
      <c r="F235" s="556">
        <v>602</v>
      </c>
      <c r="G235" s="541">
        <v>6202.81</v>
      </c>
      <c r="H235" s="560">
        <v>0.05</v>
      </c>
      <c r="I235" s="107">
        <v>13</v>
      </c>
      <c r="K235" s="370">
        <v>1010</v>
      </c>
      <c r="L235" s="371" t="s">
        <v>684</v>
      </c>
      <c r="M235" s="372" t="s">
        <v>751</v>
      </c>
      <c r="N235" s="373" t="s">
        <v>685</v>
      </c>
      <c r="O235" s="374" t="s">
        <v>686</v>
      </c>
      <c r="P235" s="374" t="s">
        <v>754</v>
      </c>
    </row>
    <row r="236" spans="1:16" ht="12.75">
      <c r="A236">
        <v>229</v>
      </c>
      <c r="B236" s="557">
        <v>14010</v>
      </c>
      <c r="C236" t="s">
        <v>4206</v>
      </c>
      <c r="D236" s="107" t="s">
        <v>2439</v>
      </c>
      <c r="E236" s="540">
        <v>1015</v>
      </c>
      <c r="F236" s="556">
        <v>602</v>
      </c>
      <c r="G236" s="541">
        <v>592.67</v>
      </c>
      <c r="H236" s="560">
        <v>0.05</v>
      </c>
      <c r="I236" s="107">
        <v>4</v>
      </c>
      <c r="K236" s="370">
        <v>1011</v>
      </c>
      <c r="L236" s="371" t="s">
        <v>687</v>
      </c>
      <c r="M236" s="372" t="s">
        <v>751</v>
      </c>
      <c r="N236" s="373" t="s">
        <v>688</v>
      </c>
      <c r="O236" s="374" t="s">
        <v>689</v>
      </c>
      <c r="P236" s="374" t="s">
        <v>754</v>
      </c>
    </row>
    <row r="237" spans="1:16" ht="12.75">
      <c r="A237">
        <v>230</v>
      </c>
      <c r="B237" s="557">
        <v>1955</v>
      </c>
      <c r="C237" t="s">
        <v>4565</v>
      </c>
      <c r="D237" s="107" t="s">
        <v>2439</v>
      </c>
      <c r="E237" s="540">
        <v>1800</v>
      </c>
      <c r="F237" s="556">
        <v>601</v>
      </c>
      <c r="G237" s="541">
        <v>333.82</v>
      </c>
      <c r="H237" s="560">
        <v>0.05</v>
      </c>
      <c r="I237" s="107">
        <v>1</v>
      </c>
      <c r="K237" s="370">
        <v>1012</v>
      </c>
      <c r="L237" s="371" t="s">
        <v>690</v>
      </c>
      <c r="M237" s="372" t="s">
        <v>751</v>
      </c>
      <c r="N237" s="373" t="s">
        <v>691</v>
      </c>
      <c r="O237" s="374" t="s">
        <v>2811</v>
      </c>
      <c r="P237" s="374" t="s">
        <v>754</v>
      </c>
    </row>
    <row r="238" spans="1:16" ht="12.75">
      <c r="A238">
        <v>231</v>
      </c>
      <c r="B238" s="557">
        <v>2488</v>
      </c>
      <c r="C238" t="s">
        <v>4566</v>
      </c>
      <c r="D238" s="107" t="s">
        <v>1773</v>
      </c>
      <c r="E238">
        <v>55750</v>
      </c>
      <c r="F238" s="556">
        <v>586</v>
      </c>
      <c r="G238" s="541">
        <v>10.52</v>
      </c>
      <c r="H238" s="560">
        <v>0.05</v>
      </c>
      <c r="I238" s="107">
        <v>4</v>
      </c>
      <c r="K238" s="370">
        <v>1013</v>
      </c>
      <c r="L238" s="371" t="s">
        <v>2812</v>
      </c>
      <c r="M238" s="372" t="s">
        <v>751</v>
      </c>
      <c r="N238" s="373" t="s">
        <v>2813</v>
      </c>
      <c r="O238" s="374" t="s">
        <v>2814</v>
      </c>
      <c r="P238" s="374" t="s">
        <v>754</v>
      </c>
    </row>
    <row r="239" spans="1:16" ht="12.75">
      <c r="A239">
        <v>232</v>
      </c>
      <c r="B239" s="557" t="s">
        <v>4232</v>
      </c>
      <c r="C239" t="s">
        <v>4233</v>
      </c>
      <c r="D239" s="107" t="s">
        <v>1772</v>
      </c>
      <c r="E239">
        <v>73219</v>
      </c>
      <c r="F239" s="556">
        <v>586</v>
      </c>
      <c r="G239" s="541">
        <v>8</v>
      </c>
      <c r="H239" s="560">
        <v>0.05</v>
      </c>
      <c r="I239" s="107">
        <v>1</v>
      </c>
      <c r="K239" s="370">
        <v>1014</v>
      </c>
      <c r="L239" s="371" t="s">
        <v>2815</v>
      </c>
      <c r="M239" s="372" t="s">
        <v>751</v>
      </c>
      <c r="N239" s="373" t="s">
        <v>2816</v>
      </c>
      <c r="O239" s="374" t="s">
        <v>2817</v>
      </c>
      <c r="P239" s="374" t="s">
        <v>754</v>
      </c>
    </row>
    <row r="240" spans="1:14" ht="12.75">
      <c r="A240">
        <v>233</v>
      </c>
      <c r="B240" s="557">
        <v>2723</v>
      </c>
      <c r="C240" t="s">
        <v>4567</v>
      </c>
      <c r="D240" s="107" t="s">
        <v>1772</v>
      </c>
      <c r="E240">
        <v>8919</v>
      </c>
      <c r="F240" s="556">
        <v>584</v>
      </c>
      <c r="G240" s="541">
        <v>65.52</v>
      </c>
      <c r="H240" s="560">
        <v>0.05</v>
      </c>
      <c r="I240" s="107">
        <v>3</v>
      </c>
      <c r="K240" s="370">
        <v>1015</v>
      </c>
      <c r="L240" s="371" t="s">
        <v>2818</v>
      </c>
      <c r="M240" s="372" t="s">
        <v>2819</v>
      </c>
      <c r="N240" s="373"/>
    </row>
    <row r="241" spans="1:16" ht="12.75">
      <c r="A241">
        <v>234</v>
      </c>
      <c r="B241" s="557">
        <v>471</v>
      </c>
      <c r="C241" t="s">
        <v>4568</v>
      </c>
      <c r="D241" s="107" t="s">
        <v>2439</v>
      </c>
      <c r="E241">
        <v>2005</v>
      </c>
      <c r="F241" s="556">
        <v>582</v>
      </c>
      <c r="G241" s="541">
        <v>290.45</v>
      </c>
      <c r="H241" s="560">
        <v>0.05</v>
      </c>
      <c r="I241" s="107">
        <v>8</v>
      </c>
      <c r="K241" s="370">
        <v>1020</v>
      </c>
      <c r="L241" s="371" t="s">
        <v>2820</v>
      </c>
      <c r="M241" s="372" t="s">
        <v>2821</v>
      </c>
      <c r="N241" s="373" t="s">
        <v>2822</v>
      </c>
      <c r="O241" s="374" t="s">
        <v>2823</v>
      </c>
      <c r="P241" s="374" t="s">
        <v>2821</v>
      </c>
    </row>
    <row r="242" spans="1:16" ht="12.75">
      <c r="A242">
        <v>235</v>
      </c>
      <c r="B242" s="557">
        <v>8001</v>
      </c>
      <c r="C242" t="s">
        <v>4569</v>
      </c>
      <c r="D242" s="107" t="s">
        <v>1773</v>
      </c>
      <c r="E242">
        <v>13315</v>
      </c>
      <c r="F242" s="556">
        <v>581</v>
      </c>
      <c r="G242" s="541">
        <v>43.65</v>
      </c>
      <c r="H242" s="560">
        <v>0.05</v>
      </c>
      <c r="I242" s="107">
        <v>11</v>
      </c>
      <c r="K242" s="370">
        <v>1021</v>
      </c>
      <c r="L242" s="371" t="s">
        <v>2824</v>
      </c>
      <c r="M242" s="372" t="s">
        <v>2821</v>
      </c>
      <c r="N242" s="373" t="s">
        <v>2825</v>
      </c>
      <c r="O242" s="374" t="s">
        <v>2826</v>
      </c>
      <c r="P242" s="374" t="s">
        <v>2821</v>
      </c>
    </row>
    <row r="243" spans="1:16" ht="12.75">
      <c r="A243">
        <v>236</v>
      </c>
      <c r="B243" s="557">
        <v>4820</v>
      </c>
      <c r="C243" t="s">
        <v>4570</v>
      </c>
      <c r="D243" s="107" t="s">
        <v>2439</v>
      </c>
      <c r="E243">
        <v>73537</v>
      </c>
      <c r="F243" s="556">
        <v>581</v>
      </c>
      <c r="G243" s="541">
        <v>7.9</v>
      </c>
      <c r="H243" s="560">
        <v>0.05</v>
      </c>
      <c r="I243" s="107">
        <v>110</v>
      </c>
      <c r="K243" s="370">
        <v>1022</v>
      </c>
      <c r="L243" s="371" t="s">
        <v>2827</v>
      </c>
      <c r="M243" s="372" t="s">
        <v>2821</v>
      </c>
      <c r="N243" s="373" t="s">
        <v>2828</v>
      </c>
      <c r="O243" s="374" t="s">
        <v>2829</v>
      </c>
      <c r="P243" s="374" t="s">
        <v>2821</v>
      </c>
    </row>
    <row r="244" spans="1:16" ht="12.75">
      <c r="A244">
        <v>237</v>
      </c>
      <c r="B244" s="557">
        <v>4821</v>
      </c>
      <c r="C244" t="s">
        <v>4571</v>
      </c>
      <c r="D244" s="107" t="s">
        <v>2439</v>
      </c>
      <c r="E244">
        <v>6178</v>
      </c>
      <c r="F244" s="556">
        <v>576</v>
      </c>
      <c r="G244" s="541">
        <v>93.3</v>
      </c>
      <c r="H244" s="560">
        <v>0.05</v>
      </c>
      <c r="I244" s="107">
        <v>15</v>
      </c>
      <c r="K244" s="370">
        <v>1023</v>
      </c>
      <c r="L244" s="371" t="s">
        <v>2830</v>
      </c>
      <c r="M244" s="372" t="s">
        <v>2821</v>
      </c>
      <c r="N244" s="373" t="s">
        <v>2831</v>
      </c>
      <c r="O244" s="374" t="s">
        <v>2832</v>
      </c>
      <c r="P244" s="374" t="s">
        <v>2821</v>
      </c>
    </row>
    <row r="245" spans="1:16" ht="12.75">
      <c r="A245">
        <v>238</v>
      </c>
      <c r="B245" s="557" t="s">
        <v>4136</v>
      </c>
      <c r="C245" t="s">
        <v>4572</v>
      </c>
      <c r="D245" s="107" t="s">
        <v>2443</v>
      </c>
      <c r="E245">
        <v>293850</v>
      </c>
      <c r="F245" s="556">
        <v>576</v>
      </c>
      <c r="G245" s="541">
        <v>1.96</v>
      </c>
      <c r="H245" s="560">
        <v>0.05</v>
      </c>
      <c r="I245" s="107">
        <v>28</v>
      </c>
      <c r="K245" s="370">
        <v>1024</v>
      </c>
      <c r="L245" s="371" t="s">
        <v>2833</v>
      </c>
      <c r="M245" s="372" t="s">
        <v>2821</v>
      </c>
      <c r="N245" s="373" t="s">
        <v>2834</v>
      </c>
      <c r="O245" s="374" t="s">
        <v>2835</v>
      </c>
      <c r="P245" s="374" t="s">
        <v>2821</v>
      </c>
    </row>
    <row r="246" spans="1:16" ht="12.75">
      <c r="A246">
        <v>239</v>
      </c>
      <c r="B246" s="557">
        <v>1825</v>
      </c>
      <c r="C246" t="s">
        <v>4573</v>
      </c>
      <c r="D246" s="107" t="s">
        <v>2439</v>
      </c>
      <c r="E246" s="540">
        <v>24588</v>
      </c>
      <c r="F246" s="556">
        <v>575</v>
      </c>
      <c r="G246" s="541">
        <v>23.37</v>
      </c>
      <c r="H246" s="560">
        <v>0.05</v>
      </c>
      <c r="I246" s="107">
        <v>10</v>
      </c>
      <c r="K246" s="370">
        <v>1025</v>
      </c>
      <c r="L246" s="371" t="s">
        <v>2836</v>
      </c>
      <c r="M246" s="372" t="s">
        <v>2821</v>
      </c>
      <c r="N246" s="373" t="s">
        <v>2837</v>
      </c>
      <c r="O246" s="374" t="s">
        <v>2838</v>
      </c>
      <c r="P246" s="374" t="s">
        <v>2821</v>
      </c>
    </row>
    <row r="247" spans="1:16" ht="12.75">
      <c r="A247">
        <v>240</v>
      </c>
      <c r="B247" s="557">
        <v>3269</v>
      </c>
      <c r="C247" t="s">
        <v>4574</v>
      </c>
      <c r="D247" s="107" t="s">
        <v>2439</v>
      </c>
      <c r="E247" s="540">
        <v>46050</v>
      </c>
      <c r="F247" s="556">
        <v>565</v>
      </c>
      <c r="G247" s="541">
        <v>12.27</v>
      </c>
      <c r="H247" s="560">
        <v>0.05</v>
      </c>
      <c r="I247" s="107">
        <v>3</v>
      </c>
      <c r="K247" s="370">
        <v>1026</v>
      </c>
      <c r="L247" s="371" t="s">
        <v>2839</v>
      </c>
      <c r="M247" s="372" t="s">
        <v>2821</v>
      </c>
      <c r="N247" s="373" t="s">
        <v>2840</v>
      </c>
      <c r="O247" s="374" t="s">
        <v>2841</v>
      </c>
      <c r="P247" s="374" t="s">
        <v>2821</v>
      </c>
    </row>
    <row r="248" spans="1:16" ht="12.75">
      <c r="A248">
        <v>241</v>
      </c>
      <c r="B248" s="557">
        <v>14111</v>
      </c>
      <c r="C248" t="s">
        <v>4575</v>
      </c>
      <c r="D248" s="107" t="s">
        <v>2522</v>
      </c>
      <c r="E248" s="540">
        <v>15</v>
      </c>
      <c r="F248" s="556">
        <v>563</v>
      </c>
      <c r="G248" s="541">
        <v>37500</v>
      </c>
      <c r="H248" s="560">
        <v>0.05</v>
      </c>
      <c r="I248" s="107">
        <v>1</v>
      </c>
      <c r="K248" s="370">
        <v>1027</v>
      </c>
      <c r="L248" s="371" t="s">
        <v>2842</v>
      </c>
      <c r="M248" s="372" t="s">
        <v>2821</v>
      </c>
      <c r="N248" s="373" t="s">
        <v>2843</v>
      </c>
      <c r="O248" s="374" t="s">
        <v>36</v>
      </c>
      <c r="P248" s="374" t="s">
        <v>2821</v>
      </c>
    </row>
    <row r="249" spans="1:16" ht="12.75">
      <c r="A249">
        <v>242</v>
      </c>
      <c r="B249" s="557" t="s">
        <v>3993</v>
      </c>
      <c r="C249" t="s">
        <v>4576</v>
      </c>
      <c r="D249" s="107" t="s">
        <v>1773</v>
      </c>
      <c r="E249" s="540">
        <v>674</v>
      </c>
      <c r="F249" s="556">
        <v>559</v>
      </c>
      <c r="G249" s="541">
        <v>828.93</v>
      </c>
      <c r="H249" s="560">
        <v>0.05</v>
      </c>
      <c r="I249" s="107">
        <v>21</v>
      </c>
      <c r="K249" s="370">
        <v>1028</v>
      </c>
      <c r="L249" s="371" t="s">
        <v>37</v>
      </c>
      <c r="M249" s="372" t="s">
        <v>2821</v>
      </c>
      <c r="N249" s="373" t="s">
        <v>38</v>
      </c>
      <c r="O249" s="374" t="s">
        <v>39</v>
      </c>
      <c r="P249" s="374" t="s">
        <v>2821</v>
      </c>
    </row>
    <row r="250" spans="1:16" ht="12.75">
      <c r="A250">
        <v>243</v>
      </c>
      <c r="B250" s="557">
        <v>2585</v>
      </c>
      <c r="C250" t="s">
        <v>4577</v>
      </c>
      <c r="D250" s="107" t="s">
        <v>2439</v>
      </c>
      <c r="E250" s="540">
        <v>16771</v>
      </c>
      <c r="F250" s="556">
        <v>551</v>
      </c>
      <c r="G250" s="541">
        <v>32.86</v>
      </c>
      <c r="H250" s="560">
        <v>0.05</v>
      </c>
      <c r="I250" s="107">
        <v>80</v>
      </c>
      <c r="K250" s="370">
        <v>1029</v>
      </c>
      <c r="L250" s="371" t="s">
        <v>40</v>
      </c>
      <c r="M250" s="372" t="s">
        <v>2821</v>
      </c>
      <c r="N250" s="373" t="s">
        <v>41</v>
      </c>
      <c r="O250" s="374" t="s">
        <v>42</v>
      </c>
      <c r="P250" s="374" t="s">
        <v>2821</v>
      </c>
    </row>
    <row r="251" spans="1:16" ht="12.75">
      <c r="A251">
        <v>244</v>
      </c>
      <c r="B251" s="557">
        <v>2572</v>
      </c>
      <c r="C251" t="s">
        <v>4578</v>
      </c>
      <c r="D251" s="107" t="s">
        <v>2441</v>
      </c>
      <c r="E251" s="540">
        <v>15</v>
      </c>
      <c r="F251" s="556">
        <v>539</v>
      </c>
      <c r="G251" s="541">
        <v>35913.33</v>
      </c>
      <c r="H251" s="560">
        <v>0.05</v>
      </c>
      <c r="I251" s="107">
        <v>15</v>
      </c>
      <c r="K251" s="370">
        <v>1030</v>
      </c>
      <c r="L251" s="371" t="s">
        <v>43</v>
      </c>
      <c r="M251" s="372" t="s">
        <v>2821</v>
      </c>
      <c r="N251" s="373" t="s">
        <v>44</v>
      </c>
      <c r="O251" s="374" t="s">
        <v>45</v>
      </c>
      <c r="P251" s="374" t="s">
        <v>2821</v>
      </c>
    </row>
    <row r="252" spans="1:16" ht="12.75">
      <c r="A252">
        <v>245</v>
      </c>
      <c r="B252" s="557">
        <v>2704</v>
      </c>
      <c r="C252" t="s">
        <v>4579</v>
      </c>
      <c r="D252" s="107" t="s">
        <v>2522</v>
      </c>
      <c r="E252" s="540">
        <v>2467</v>
      </c>
      <c r="F252" s="556">
        <v>533</v>
      </c>
      <c r="G252" s="541">
        <v>216.05</v>
      </c>
      <c r="H252" s="560">
        <v>0.04</v>
      </c>
      <c r="I252" s="107">
        <v>92</v>
      </c>
      <c r="K252" s="370">
        <v>1031</v>
      </c>
      <c r="L252" s="371" t="s">
        <v>46</v>
      </c>
      <c r="M252" s="372" t="s">
        <v>2821</v>
      </c>
      <c r="N252" s="373" t="s">
        <v>47</v>
      </c>
      <c r="O252" s="374" t="s">
        <v>48</v>
      </c>
      <c r="P252" s="374" t="s">
        <v>2821</v>
      </c>
    </row>
    <row r="253" spans="1:16" ht="12.75">
      <c r="A253">
        <v>246</v>
      </c>
      <c r="B253" s="557">
        <v>8666</v>
      </c>
      <c r="C253" t="s">
        <v>4580</v>
      </c>
      <c r="D253" s="107" t="s">
        <v>2439</v>
      </c>
      <c r="E253" s="540">
        <v>718</v>
      </c>
      <c r="F253" s="556">
        <v>531</v>
      </c>
      <c r="G253" s="541">
        <v>740.4</v>
      </c>
      <c r="H253" s="560">
        <v>0.04</v>
      </c>
      <c r="I253" s="107">
        <v>2</v>
      </c>
      <c r="K253" s="370">
        <v>1032</v>
      </c>
      <c r="L253" s="371" t="s">
        <v>49</v>
      </c>
      <c r="M253" s="372" t="s">
        <v>2821</v>
      </c>
      <c r="N253" s="373" t="s">
        <v>50</v>
      </c>
      <c r="O253" s="374" t="s">
        <v>51</v>
      </c>
      <c r="P253" s="374" t="s">
        <v>2821</v>
      </c>
    </row>
    <row r="254" spans="1:16" ht="12.75">
      <c r="A254">
        <v>247</v>
      </c>
      <c r="B254" s="557">
        <v>8664</v>
      </c>
      <c r="C254" t="s">
        <v>4581</v>
      </c>
      <c r="D254" s="107" t="s">
        <v>2439</v>
      </c>
      <c r="E254" s="540">
        <v>1605</v>
      </c>
      <c r="F254" s="556">
        <v>524</v>
      </c>
      <c r="G254" s="541">
        <v>326.53</v>
      </c>
      <c r="H254" s="560">
        <v>0.04</v>
      </c>
      <c r="I254" s="107">
        <v>3</v>
      </c>
      <c r="K254" s="370">
        <v>1033</v>
      </c>
      <c r="L254" s="371" t="s">
        <v>52</v>
      </c>
      <c r="M254" s="372" t="s">
        <v>2821</v>
      </c>
      <c r="N254" s="373" t="s">
        <v>53</v>
      </c>
      <c r="O254" s="374" t="s">
        <v>54</v>
      </c>
      <c r="P254" s="374" t="s">
        <v>2821</v>
      </c>
    </row>
    <row r="255" spans="1:16" ht="12.75">
      <c r="A255">
        <v>248</v>
      </c>
      <c r="B255" s="557">
        <v>6556</v>
      </c>
      <c r="C255" t="s">
        <v>4582</v>
      </c>
      <c r="D255" s="107" t="s">
        <v>2439</v>
      </c>
      <c r="E255" s="540">
        <v>95896</v>
      </c>
      <c r="F255" s="556">
        <v>521</v>
      </c>
      <c r="G255" s="541">
        <v>5.44</v>
      </c>
      <c r="H255" s="560">
        <v>0.04</v>
      </c>
      <c r="I255" s="107">
        <v>28</v>
      </c>
      <c r="K255" s="370">
        <v>1034</v>
      </c>
      <c r="L255" s="371" t="s">
        <v>55</v>
      </c>
      <c r="M255" s="372" t="s">
        <v>2821</v>
      </c>
      <c r="N255" s="373" t="s">
        <v>56</v>
      </c>
      <c r="O255" s="374" t="s">
        <v>1215</v>
      </c>
      <c r="P255" s="374" t="s">
        <v>2821</v>
      </c>
    </row>
    <row r="256" spans="1:16" ht="12.75">
      <c r="A256">
        <v>249</v>
      </c>
      <c r="B256" s="557">
        <v>14011</v>
      </c>
      <c r="C256" t="s">
        <v>4583</v>
      </c>
      <c r="D256" s="107" t="s">
        <v>2439</v>
      </c>
      <c r="E256" s="540">
        <v>478</v>
      </c>
      <c r="F256" s="556">
        <v>521</v>
      </c>
      <c r="G256" s="541">
        <v>1090</v>
      </c>
      <c r="H256" s="560">
        <v>0.04</v>
      </c>
      <c r="I256" s="107">
        <v>1</v>
      </c>
      <c r="K256" s="370">
        <v>1035</v>
      </c>
      <c r="L256" s="371" t="s">
        <v>1216</v>
      </c>
      <c r="M256" s="372" t="s">
        <v>2821</v>
      </c>
      <c r="N256" s="373" t="s">
        <v>1217</v>
      </c>
      <c r="O256" s="374" t="s">
        <v>1218</v>
      </c>
      <c r="P256" s="374" t="s">
        <v>2821</v>
      </c>
    </row>
    <row r="257" spans="1:16" ht="12.75">
      <c r="A257">
        <v>250</v>
      </c>
      <c r="B257" s="557" t="s">
        <v>3421</v>
      </c>
      <c r="C257" t="s">
        <v>4584</v>
      </c>
      <c r="D257" s="107" t="s">
        <v>2441</v>
      </c>
      <c r="E257" s="540">
        <v>22</v>
      </c>
      <c r="F257" s="556">
        <v>517</v>
      </c>
      <c r="G257" s="541">
        <v>23514.64</v>
      </c>
      <c r="H257" s="560">
        <v>0.04</v>
      </c>
      <c r="I257" s="107">
        <v>22</v>
      </c>
      <c r="K257" s="370">
        <v>1050</v>
      </c>
      <c r="L257" s="371" t="s">
        <v>1219</v>
      </c>
      <c r="M257" s="372" t="s">
        <v>751</v>
      </c>
      <c r="N257" s="373" t="s">
        <v>1220</v>
      </c>
      <c r="O257" s="374" t="s">
        <v>1221</v>
      </c>
      <c r="P257" s="374" t="s">
        <v>754</v>
      </c>
    </row>
    <row r="258" spans="1:16" ht="12.75">
      <c r="A258">
        <v>251</v>
      </c>
      <c r="B258" s="557">
        <v>2653</v>
      </c>
      <c r="C258" t="s">
        <v>4585</v>
      </c>
      <c r="D258" s="107" t="s">
        <v>2522</v>
      </c>
      <c r="E258" s="540">
        <v>174</v>
      </c>
      <c r="F258" s="556">
        <v>514</v>
      </c>
      <c r="G258" s="541">
        <v>2952.74</v>
      </c>
      <c r="H258" s="560">
        <v>0.04</v>
      </c>
      <c r="I258" s="107">
        <v>21</v>
      </c>
      <c r="K258" s="370">
        <v>1051</v>
      </c>
      <c r="L258" s="371" t="s">
        <v>1222</v>
      </c>
      <c r="M258" s="372" t="s">
        <v>751</v>
      </c>
      <c r="N258" s="373" t="s">
        <v>1223</v>
      </c>
      <c r="O258" s="374" t="s">
        <v>1224</v>
      </c>
      <c r="P258" s="374" t="s">
        <v>754</v>
      </c>
    </row>
    <row r="259" spans="1:16" ht="12.75">
      <c r="A259">
        <v>252</v>
      </c>
      <c r="B259" s="557">
        <v>6427</v>
      </c>
      <c r="C259" t="s">
        <v>4586</v>
      </c>
      <c r="D259" s="107" t="s">
        <v>2439</v>
      </c>
      <c r="E259" s="540">
        <v>133923</v>
      </c>
      <c r="F259" s="556">
        <v>513</v>
      </c>
      <c r="G259" s="541">
        <v>3.83</v>
      </c>
      <c r="H259" s="560">
        <v>0.04</v>
      </c>
      <c r="I259" s="107">
        <v>7</v>
      </c>
      <c r="K259" s="370">
        <v>1052</v>
      </c>
      <c r="L259" s="371" t="s">
        <v>1225</v>
      </c>
      <c r="M259" s="372" t="s">
        <v>751</v>
      </c>
      <c r="N259" s="373" t="s">
        <v>1226</v>
      </c>
      <c r="O259" s="374" t="s">
        <v>1227</v>
      </c>
      <c r="P259" s="374" t="s">
        <v>754</v>
      </c>
    </row>
    <row r="260" spans="1:16" ht="12.75">
      <c r="A260">
        <v>253</v>
      </c>
      <c r="B260" s="557" t="s">
        <v>4004</v>
      </c>
      <c r="C260" t="s">
        <v>4587</v>
      </c>
      <c r="D260" s="107" t="s">
        <v>1772</v>
      </c>
      <c r="E260" s="540">
        <v>88026</v>
      </c>
      <c r="F260" s="556">
        <v>510</v>
      </c>
      <c r="G260" s="541">
        <v>5.79</v>
      </c>
      <c r="H260" s="560">
        <v>0.04</v>
      </c>
      <c r="I260" s="107">
        <v>17</v>
      </c>
      <c r="K260" s="370">
        <v>1053</v>
      </c>
      <c r="L260" s="371" t="s">
        <v>1228</v>
      </c>
      <c r="M260" s="372" t="s">
        <v>751</v>
      </c>
      <c r="N260" s="373" t="s">
        <v>1229</v>
      </c>
      <c r="O260" s="374" t="s">
        <v>1230</v>
      </c>
      <c r="P260" s="374" t="s">
        <v>754</v>
      </c>
    </row>
    <row r="261" spans="1:16" ht="12.75">
      <c r="A261">
        <v>254</v>
      </c>
      <c r="B261" s="557" t="s">
        <v>3996</v>
      </c>
      <c r="C261" t="s">
        <v>4588</v>
      </c>
      <c r="D261" s="107" t="s">
        <v>2439</v>
      </c>
      <c r="E261" s="540">
        <v>2274</v>
      </c>
      <c r="F261" s="556">
        <v>508</v>
      </c>
      <c r="G261" s="541">
        <v>223.45</v>
      </c>
      <c r="H261" s="560">
        <v>0.04</v>
      </c>
      <c r="I261" s="107">
        <v>3</v>
      </c>
      <c r="K261" s="370">
        <v>1054</v>
      </c>
      <c r="L261" s="371" t="s">
        <v>1231</v>
      </c>
      <c r="M261" s="372" t="s">
        <v>751</v>
      </c>
      <c r="N261" s="373" t="s">
        <v>1232</v>
      </c>
      <c r="O261" s="374" t="s">
        <v>1233</v>
      </c>
      <c r="P261" s="374" t="s">
        <v>754</v>
      </c>
    </row>
    <row r="262" spans="1:16" ht="12.75">
      <c r="A262">
        <v>255</v>
      </c>
      <c r="B262" s="557">
        <v>3300</v>
      </c>
      <c r="C262" t="s">
        <v>4589</v>
      </c>
      <c r="D262" s="107" t="s">
        <v>2439</v>
      </c>
      <c r="E262" s="540">
        <v>1165</v>
      </c>
      <c r="F262" s="556">
        <v>506</v>
      </c>
      <c r="G262" s="541">
        <v>434.41</v>
      </c>
      <c r="H262" s="560">
        <v>0.04</v>
      </c>
      <c r="I262" s="107">
        <v>6</v>
      </c>
      <c r="K262" s="370">
        <v>1055</v>
      </c>
      <c r="L262" s="371" t="s">
        <v>1234</v>
      </c>
      <c r="M262" s="372" t="s">
        <v>751</v>
      </c>
      <c r="N262" s="373" t="s">
        <v>1235</v>
      </c>
      <c r="O262" s="374" t="s">
        <v>1236</v>
      </c>
      <c r="P262" s="374" t="s">
        <v>754</v>
      </c>
    </row>
    <row r="263" spans="1:16" ht="12.75">
      <c r="A263">
        <v>256</v>
      </c>
      <c r="B263" s="557" t="s">
        <v>2266</v>
      </c>
      <c r="C263" t="s">
        <v>4590</v>
      </c>
      <c r="D263" s="107" t="s">
        <v>2441</v>
      </c>
      <c r="E263" s="540">
        <v>42</v>
      </c>
      <c r="F263" s="556">
        <v>504</v>
      </c>
      <c r="G263" s="541">
        <v>12007.23</v>
      </c>
      <c r="H263" s="560">
        <v>0.04</v>
      </c>
      <c r="I263" s="107">
        <v>42</v>
      </c>
      <c r="K263" s="370">
        <v>1056</v>
      </c>
      <c r="L263" s="371" t="s">
        <v>1237</v>
      </c>
      <c r="M263" s="372" t="s">
        <v>751</v>
      </c>
      <c r="N263" s="373" t="s">
        <v>1238</v>
      </c>
      <c r="O263" s="374" t="s">
        <v>1239</v>
      </c>
      <c r="P263" s="374" t="s">
        <v>754</v>
      </c>
    </row>
    <row r="264" spans="1:16" ht="12.75">
      <c r="A264">
        <v>257</v>
      </c>
      <c r="B264" s="557">
        <v>2363</v>
      </c>
      <c r="C264" t="s">
        <v>4591</v>
      </c>
      <c r="D264" s="107" t="s">
        <v>2522</v>
      </c>
      <c r="E264" s="540">
        <v>167</v>
      </c>
      <c r="F264" s="556">
        <v>500</v>
      </c>
      <c r="G264" s="541">
        <v>2993.28</v>
      </c>
      <c r="H264" s="560">
        <v>0.04</v>
      </c>
      <c r="I264" s="107">
        <v>20</v>
      </c>
      <c r="K264" s="370">
        <v>1057</v>
      </c>
      <c r="L264" s="371" t="s">
        <v>1240</v>
      </c>
      <c r="M264" s="372" t="s">
        <v>751</v>
      </c>
      <c r="N264" s="373" t="s">
        <v>1241</v>
      </c>
      <c r="O264" s="374" t="s">
        <v>1242</v>
      </c>
      <c r="P264" s="374" t="s">
        <v>754</v>
      </c>
    </row>
    <row r="265" spans="1:16" ht="12.75">
      <c r="A265">
        <v>258</v>
      </c>
      <c r="B265" s="557">
        <v>2655</v>
      </c>
      <c r="C265" t="s">
        <v>4592</v>
      </c>
      <c r="D265" s="107" t="s">
        <v>2441</v>
      </c>
      <c r="E265" s="540">
        <v>2</v>
      </c>
      <c r="F265" s="556">
        <v>495</v>
      </c>
      <c r="G265" s="541">
        <v>247500</v>
      </c>
      <c r="H265" s="560">
        <v>0.04</v>
      </c>
      <c r="I265" s="107">
        <v>2</v>
      </c>
      <c r="K265" s="370">
        <v>1058</v>
      </c>
      <c r="L265" s="371" t="s">
        <v>1243</v>
      </c>
      <c r="M265" s="372" t="s">
        <v>751</v>
      </c>
      <c r="N265" s="373" t="s">
        <v>1244</v>
      </c>
      <c r="O265" s="374" t="s">
        <v>1245</v>
      </c>
      <c r="P265" s="374" t="s">
        <v>754</v>
      </c>
    </row>
    <row r="266" spans="1:16" ht="12.75">
      <c r="A266">
        <v>259</v>
      </c>
      <c r="B266" s="557">
        <v>2403</v>
      </c>
      <c r="C266" t="s">
        <v>4593</v>
      </c>
      <c r="D266" s="107" t="s">
        <v>1773</v>
      </c>
      <c r="E266" s="540">
        <v>811</v>
      </c>
      <c r="F266" s="556">
        <v>493</v>
      </c>
      <c r="G266" s="541">
        <v>608.15</v>
      </c>
      <c r="H266" s="560">
        <v>0.04</v>
      </c>
      <c r="I266" s="107">
        <v>14</v>
      </c>
      <c r="K266" s="370">
        <v>1059</v>
      </c>
      <c r="L266" s="371" t="s">
        <v>1246</v>
      </c>
      <c r="M266" s="372" t="s">
        <v>751</v>
      </c>
      <c r="N266" s="373" t="s">
        <v>1247</v>
      </c>
      <c r="O266" s="374" t="s">
        <v>1248</v>
      </c>
      <c r="P266" s="374" t="s">
        <v>754</v>
      </c>
    </row>
    <row r="267" spans="1:16" ht="12.75">
      <c r="A267">
        <v>260</v>
      </c>
      <c r="B267" s="557">
        <v>2898</v>
      </c>
      <c r="C267" t="s">
        <v>4594</v>
      </c>
      <c r="D267" s="107" t="s">
        <v>2522</v>
      </c>
      <c r="E267" s="540">
        <v>127</v>
      </c>
      <c r="F267" s="556">
        <v>493</v>
      </c>
      <c r="G267" s="541">
        <v>3882.48</v>
      </c>
      <c r="H267" s="560">
        <v>0.04</v>
      </c>
      <c r="I267" s="107">
        <v>16</v>
      </c>
      <c r="K267" s="370">
        <v>1060</v>
      </c>
      <c r="L267" s="371" t="s">
        <v>1249</v>
      </c>
      <c r="M267" s="372" t="s">
        <v>751</v>
      </c>
      <c r="N267" s="373" t="s">
        <v>1250</v>
      </c>
      <c r="O267" s="374" t="s">
        <v>1251</v>
      </c>
      <c r="P267" s="374" t="s">
        <v>754</v>
      </c>
    </row>
    <row r="268" spans="1:16" ht="12.75">
      <c r="A268">
        <v>261</v>
      </c>
      <c r="B268" s="557" t="s">
        <v>4241</v>
      </c>
      <c r="C268" t="s">
        <v>4595</v>
      </c>
      <c r="D268" s="107" t="s">
        <v>2522</v>
      </c>
      <c r="E268" s="540">
        <v>129</v>
      </c>
      <c r="F268" s="556">
        <v>493</v>
      </c>
      <c r="G268" s="541">
        <v>3820.16</v>
      </c>
      <c r="H268" s="560">
        <v>0.04</v>
      </c>
      <c r="I268" s="107">
        <v>4</v>
      </c>
      <c r="K268" s="370">
        <v>1061</v>
      </c>
      <c r="L268" s="371" t="s">
        <v>1252</v>
      </c>
      <c r="M268" s="372" t="s">
        <v>751</v>
      </c>
      <c r="N268" s="373" t="s">
        <v>1253</v>
      </c>
      <c r="O268" s="374" t="s">
        <v>1254</v>
      </c>
      <c r="P268" s="374" t="s">
        <v>754</v>
      </c>
    </row>
    <row r="269" spans="1:16" ht="12.75">
      <c r="A269">
        <v>262</v>
      </c>
      <c r="B269" s="557" t="s">
        <v>4596</v>
      </c>
      <c r="C269" t="s">
        <v>4597</v>
      </c>
      <c r="D269" s="107" t="s">
        <v>3416</v>
      </c>
      <c r="E269" s="540">
        <v>7187</v>
      </c>
      <c r="F269" s="556">
        <v>489</v>
      </c>
      <c r="G269" s="541">
        <v>68</v>
      </c>
      <c r="H269" s="560">
        <v>0.04</v>
      </c>
      <c r="I269" s="107">
        <v>1</v>
      </c>
      <c r="K269" s="370">
        <v>1063</v>
      </c>
      <c r="L269" s="371" t="s">
        <v>1255</v>
      </c>
      <c r="M269" s="372" t="s">
        <v>751</v>
      </c>
      <c r="N269" s="373" t="s">
        <v>1256</v>
      </c>
      <c r="O269" s="374" t="s">
        <v>1257</v>
      </c>
      <c r="P269" s="374" t="s">
        <v>754</v>
      </c>
    </row>
    <row r="270" spans="1:16" ht="12.75">
      <c r="A270">
        <v>263</v>
      </c>
      <c r="B270" s="557">
        <v>2775</v>
      </c>
      <c r="C270" t="s">
        <v>4598</v>
      </c>
      <c r="D270" s="107" t="s">
        <v>2522</v>
      </c>
      <c r="E270" s="540">
        <v>451</v>
      </c>
      <c r="F270" s="556">
        <v>488</v>
      </c>
      <c r="G270" s="541">
        <v>1081.12</v>
      </c>
      <c r="H270" s="560">
        <v>0.04</v>
      </c>
      <c r="I270" s="107">
        <v>163</v>
      </c>
      <c r="K270" s="370">
        <v>1065</v>
      </c>
      <c r="L270" s="371" t="s">
        <v>1258</v>
      </c>
      <c r="M270" s="372" t="s">
        <v>751</v>
      </c>
      <c r="N270" s="373" t="s">
        <v>1259</v>
      </c>
      <c r="O270" s="374" t="s">
        <v>1260</v>
      </c>
      <c r="P270" s="374" t="s">
        <v>754</v>
      </c>
    </row>
    <row r="271" spans="1:16" ht="12.75">
      <c r="A271">
        <v>264</v>
      </c>
      <c r="B271" s="557" t="s">
        <v>3991</v>
      </c>
      <c r="C271" t="s">
        <v>4599</v>
      </c>
      <c r="D271" s="107" t="s">
        <v>2522</v>
      </c>
      <c r="E271" s="540">
        <v>203</v>
      </c>
      <c r="F271" s="556">
        <v>485</v>
      </c>
      <c r="G271" s="541">
        <v>2391.42</v>
      </c>
      <c r="H271" s="560">
        <v>0.04</v>
      </c>
      <c r="I271" s="107">
        <v>5</v>
      </c>
      <c r="K271" s="370">
        <v>1067</v>
      </c>
      <c r="L271" s="371" t="s">
        <v>1261</v>
      </c>
      <c r="M271" s="372" t="s">
        <v>751</v>
      </c>
      <c r="N271" s="373" t="s">
        <v>1262</v>
      </c>
      <c r="O271" s="374" t="s">
        <v>1263</v>
      </c>
      <c r="P271" s="374" t="s">
        <v>754</v>
      </c>
    </row>
    <row r="272" spans="1:16" ht="12.75">
      <c r="A272">
        <v>265</v>
      </c>
      <c r="B272" s="557">
        <v>2015</v>
      </c>
      <c r="C272" t="s">
        <v>4600</v>
      </c>
      <c r="D272" s="107" t="s">
        <v>1772</v>
      </c>
      <c r="E272" s="540">
        <v>3616</v>
      </c>
      <c r="F272" s="556">
        <v>481</v>
      </c>
      <c r="G272" s="541">
        <v>132.93</v>
      </c>
      <c r="H272" s="560">
        <v>0.04</v>
      </c>
      <c r="I272" s="107">
        <v>2</v>
      </c>
      <c r="K272" s="370">
        <v>1069</v>
      </c>
      <c r="L272" s="371" t="s">
        <v>1264</v>
      </c>
      <c r="M272" s="372" t="s">
        <v>751</v>
      </c>
      <c r="N272" s="373" t="s">
        <v>1265</v>
      </c>
      <c r="O272" s="374" t="s">
        <v>1266</v>
      </c>
      <c r="P272" s="374" t="s">
        <v>754</v>
      </c>
    </row>
    <row r="273" spans="1:16" ht="12.75">
      <c r="A273">
        <v>266</v>
      </c>
      <c r="B273" s="557">
        <v>2607</v>
      </c>
      <c r="C273" t="s">
        <v>4193</v>
      </c>
      <c r="D273" s="107" t="s">
        <v>1772</v>
      </c>
      <c r="E273" s="540">
        <v>240276</v>
      </c>
      <c r="F273" s="556">
        <v>481</v>
      </c>
      <c r="G273" s="541">
        <v>2</v>
      </c>
      <c r="H273" s="560">
        <v>0.04</v>
      </c>
      <c r="I273" s="107">
        <v>42</v>
      </c>
      <c r="K273" s="370">
        <v>1071</v>
      </c>
      <c r="L273" s="371" t="s">
        <v>1267</v>
      </c>
      <c r="M273" s="372" t="s">
        <v>751</v>
      </c>
      <c r="N273" s="373" t="s">
        <v>1268</v>
      </c>
      <c r="O273" s="374" t="s">
        <v>1269</v>
      </c>
      <c r="P273" s="374" t="s">
        <v>754</v>
      </c>
    </row>
    <row r="274" spans="1:16" ht="12.75">
      <c r="A274">
        <v>267</v>
      </c>
      <c r="B274" s="557" t="s">
        <v>4601</v>
      </c>
      <c r="C274" t="s">
        <v>4602</v>
      </c>
      <c r="D274" s="107" t="s">
        <v>2439</v>
      </c>
      <c r="E274">
        <v>96</v>
      </c>
      <c r="F274" s="556">
        <v>480</v>
      </c>
      <c r="G274" s="541">
        <v>5000</v>
      </c>
      <c r="H274" s="560">
        <v>0.04</v>
      </c>
      <c r="I274" s="107">
        <v>1</v>
      </c>
      <c r="K274" s="370">
        <v>1073</v>
      </c>
      <c r="L274" s="371" t="s">
        <v>1270</v>
      </c>
      <c r="M274" s="372" t="s">
        <v>751</v>
      </c>
      <c r="N274" s="373" t="s">
        <v>1271</v>
      </c>
      <c r="O274" s="374" t="s">
        <v>1272</v>
      </c>
      <c r="P274" s="374" t="s">
        <v>754</v>
      </c>
    </row>
    <row r="275" spans="1:16" ht="12.75">
      <c r="A275">
        <v>268</v>
      </c>
      <c r="B275" s="557">
        <v>8671</v>
      </c>
      <c r="C275" t="s">
        <v>4603</v>
      </c>
      <c r="D275" s="107" t="s">
        <v>2439</v>
      </c>
      <c r="E275">
        <v>1265</v>
      </c>
      <c r="F275" s="556">
        <v>478</v>
      </c>
      <c r="G275" s="541">
        <v>378</v>
      </c>
      <c r="H275" s="560">
        <v>0.04</v>
      </c>
      <c r="I275" s="107">
        <v>1</v>
      </c>
      <c r="K275" s="370">
        <v>1075</v>
      </c>
      <c r="L275" s="371" t="s">
        <v>1273</v>
      </c>
      <c r="M275" s="372" t="s">
        <v>751</v>
      </c>
      <c r="N275" s="373" t="s">
        <v>1274</v>
      </c>
      <c r="O275" s="374" t="s">
        <v>1275</v>
      </c>
      <c r="P275" s="374" t="s">
        <v>754</v>
      </c>
    </row>
    <row r="276" spans="1:16" ht="12.75">
      <c r="A276">
        <v>269</v>
      </c>
      <c r="B276" s="557">
        <v>1767</v>
      </c>
      <c r="C276" t="s">
        <v>4604</v>
      </c>
      <c r="D276" s="107" t="s">
        <v>2522</v>
      </c>
      <c r="E276">
        <v>33</v>
      </c>
      <c r="F276" s="556">
        <v>473</v>
      </c>
      <c r="G276" s="541">
        <v>14346.27</v>
      </c>
      <c r="H276" s="560">
        <v>0.04</v>
      </c>
      <c r="I276" s="107">
        <v>8</v>
      </c>
      <c r="K276" s="370">
        <v>1076</v>
      </c>
      <c r="L276" s="371" t="s">
        <v>1276</v>
      </c>
      <c r="M276" s="372" t="s">
        <v>751</v>
      </c>
      <c r="N276" s="373" t="s">
        <v>1277</v>
      </c>
      <c r="O276" s="374" t="s">
        <v>1278</v>
      </c>
      <c r="P276" s="374" t="s">
        <v>754</v>
      </c>
    </row>
    <row r="277" spans="1:16" ht="12.75">
      <c r="A277">
        <v>270</v>
      </c>
      <c r="B277" s="557">
        <v>8551</v>
      </c>
      <c r="C277" t="s">
        <v>4605</v>
      </c>
      <c r="D277" s="107" t="s">
        <v>1772</v>
      </c>
      <c r="E277">
        <v>18262</v>
      </c>
      <c r="F277" s="556">
        <v>472</v>
      </c>
      <c r="G277" s="541">
        <v>25.84</v>
      </c>
      <c r="H277" s="560">
        <v>0.04</v>
      </c>
      <c r="I277" s="107">
        <v>10</v>
      </c>
      <c r="K277" s="370">
        <v>1081</v>
      </c>
      <c r="L277" s="371" t="s">
        <v>1279</v>
      </c>
      <c r="M277" s="372" t="s">
        <v>751</v>
      </c>
      <c r="N277" s="373" t="s">
        <v>1280</v>
      </c>
      <c r="O277" s="374" t="s">
        <v>1281</v>
      </c>
      <c r="P277" s="374" t="s">
        <v>754</v>
      </c>
    </row>
    <row r="278" spans="1:16" ht="12.75">
      <c r="A278">
        <v>271</v>
      </c>
      <c r="B278" s="557" t="s">
        <v>4239</v>
      </c>
      <c r="C278" t="s">
        <v>4173</v>
      </c>
      <c r="D278" s="107" t="s">
        <v>4236</v>
      </c>
      <c r="E278">
        <v>101</v>
      </c>
      <c r="F278" s="556">
        <v>472</v>
      </c>
      <c r="G278" s="541">
        <v>4669.4</v>
      </c>
      <c r="H278" s="560">
        <v>0.04</v>
      </c>
      <c r="I278" s="107">
        <v>12</v>
      </c>
      <c r="K278" s="370">
        <v>1087</v>
      </c>
      <c r="L278" s="371" t="s">
        <v>1282</v>
      </c>
      <c r="M278" s="372" t="s">
        <v>751</v>
      </c>
      <c r="N278" s="373" t="s">
        <v>1283</v>
      </c>
      <c r="O278" s="374" t="s">
        <v>1284</v>
      </c>
      <c r="P278" s="374" t="s">
        <v>754</v>
      </c>
    </row>
    <row r="279" spans="1:16" ht="12.75">
      <c r="A279">
        <v>272</v>
      </c>
      <c r="B279" s="557" t="s">
        <v>4197</v>
      </c>
      <c r="C279" t="s">
        <v>4606</v>
      </c>
      <c r="D279" s="107" t="s">
        <v>1772</v>
      </c>
      <c r="E279">
        <v>4502</v>
      </c>
      <c r="F279" s="556">
        <v>469</v>
      </c>
      <c r="G279" s="541">
        <v>104.16</v>
      </c>
      <c r="H279" s="560">
        <v>0.04</v>
      </c>
      <c r="I279" s="107">
        <v>5</v>
      </c>
      <c r="K279" s="370">
        <v>1090</v>
      </c>
      <c r="L279" s="371" t="s">
        <v>1285</v>
      </c>
      <c r="M279" s="372" t="s">
        <v>751</v>
      </c>
      <c r="N279" s="373" t="s">
        <v>1286</v>
      </c>
      <c r="O279" s="374" t="s">
        <v>1287</v>
      </c>
      <c r="P279" s="374" t="s">
        <v>754</v>
      </c>
    </row>
    <row r="280" spans="1:16" ht="12.75">
      <c r="A280">
        <v>273</v>
      </c>
      <c r="B280" s="557">
        <v>4761</v>
      </c>
      <c r="C280" t="s">
        <v>4607</v>
      </c>
      <c r="D280" s="107" t="s">
        <v>2522</v>
      </c>
      <c r="E280">
        <v>19</v>
      </c>
      <c r="F280" s="556">
        <v>469</v>
      </c>
      <c r="G280" s="541">
        <v>24666.45</v>
      </c>
      <c r="H280" s="560">
        <v>0.04</v>
      </c>
      <c r="I280" s="107">
        <v>12</v>
      </c>
      <c r="K280" s="370">
        <v>1091</v>
      </c>
      <c r="L280" s="371" t="s">
        <v>1288</v>
      </c>
      <c r="M280" s="372" t="s">
        <v>751</v>
      </c>
      <c r="N280" s="373" t="s">
        <v>1289</v>
      </c>
      <c r="O280" s="374" t="s">
        <v>1290</v>
      </c>
      <c r="P280" s="374" t="s">
        <v>754</v>
      </c>
    </row>
    <row r="281" spans="1:16" ht="12.75">
      <c r="A281">
        <v>274</v>
      </c>
      <c r="B281" s="557">
        <v>5963</v>
      </c>
      <c r="C281" t="s">
        <v>4608</v>
      </c>
      <c r="D281" s="107" t="s">
        <v>1771</v>
      </c>
      <c r="E281">
        <v>381</v>
      </c>
      <c r="F281" s="556">
        <v>465</v>
      </c>
      <c r="G281" s="541">
        <v>1218.71</v>
      </c>
      <c r="H281" s="560">
        <v>0.04</v>
      </c>
      <c r="I281" s="107">
        <v>86</v>
      </c>
      <c r="K281" s="370">
        <v>1093</v>
      </c>
      <c r="L281" s="371" t="s">
        <v>1291</v>
      </c>
      <c r="M281" s="372" t="s">
        <v>751</v>
      </c>
      <c r="N281" s="373" t="s">
        <v>1292</v>
      </c>
      <c r="O281" s="374" t="s">
        <v>1293</v>
      </c>
      <c r="P281" s="374" t="s">
        <v>754</v>
      </c>
    </row>
    <row r="282" spans="1:16" ht="12.75">
      <c r="A282">
        <v>275</v>
      </c>
      <c r="B282" s="557" t="s">
        <v>4265</v>
      </c>
      <c r="C282" t="s">
        <v>4609</v>
      </c>
      <c r="D282" s="107" t="s">
        <v>2439</v>
      </c>
      <c r="E282">
        <v>1740</v>
      </c>
      <c r="F282" s="556">
        <v>464</v>
      </c>
      <c r="G282" s="541">
        <v>266.86</v>
      </c>
      <c r="H282" s="560">
        <v>0.04</v>
      </c>
      <c r="I282" s="107">
        <v>3</v>
      </c>
      <c r="K282" s="370">
        <v>1095</v>
      </c>
      <c r="L282" s="371" t="s">
        <v>1294</v>
      </c>
      <c r="M282" s="372" t="s">
        <v>751</v>
      </c>
      <c r="N282" s="373" t="s">
        <v>1295</v>
      </c>
      <c r="O282" s="374" t="s">
        <v>2943</v>
      </c>
      <c r="P282" s="374" t="s">
        <v>754</v>
      </c>
    </row>
    <row r="283" spans="1:16" ht="12.75">
      <c r="A283">
        <v>276</v>
      </c>
      <c r="B283" s="557">
        <v>14008</v>
      </c>
      <c r="C283" t="s">
        <v>4017</v>
      </c>
      <c r="D283" s="107" t="s">
        <v>2439</v>
      </c>
      <c r="E283">
        <v>1340</v>
      </c>
      <c r="F283" s="556">
        <v>455</v>
      </c>
      <c r="G283" s="541">
        <v>339.81</v>
      </c>
      <c r="H283" s="560">
        <v>0.04</v>
      </c>
      <c r="I283" s="107">
        <v>5</v>
      </c>
      <c r="K283" s="370">
        <v>1097</v>
      </c>
      <c r="L283" s="371" t="s">
        <v>493</v>
      </c>
      <c r="M283" s="372" t="s">
        <v>751</v>
      </c>
      <c r="N283" s="373" t="s">
        <v>494</v>
      </c>
      <c r="O283" s="374" t="s">
        <v>495</v>
      </c>
      <c r="P283" s="374" t="s">
        <v>754</v>
      </c>
    </row>
    <row r="284" spans="1:16" ht="12.75">
      <c r="A284">
        <v>277</v>
      </c>
      <c r="B284" s="557">
        <v>469</v>
      </c>
      <c r="C284" t="s">
        <v>4610</v>
      </c>
      <c r="D284" s="107" t="s">
        <v>2439</v>
      </c>
      <c r="E284">
        <v>1795</v>
      </c>
      <c r="F284" s="556">
        <v>454</v>
      </c>
      <c r="G284" s="541">
        <v>253.12</v>
      </c>
      <c r="H284" s="560">
        <v>0.04</v>
      </c>
      <c r="I284" s="107">
        <v>10</v>
      </c>
      <c r="K284" s="370">
        <v>1099</v>
      </c>
      <c r="L284" s="371" t="s">
        <v>496</v>
      </c>
      <c r="M284" s="372" t="s">
        <v>751</v>
      </c>
      <c r="N284" s="373" t="s">
        <v>497</v>
      </c>
      <c r="O284" s="374" t="s">
        <v>498</v>
      </c>
      <c r="P284" s="374" t="s">
        <v>754</v>
      </c>
    </row>
    <row r="285" spans="1:16" ht="12.75">
      <c r="A285">
        <v>278</v>
      </c>
      <c r="B285" s="557">
        <v>6582</v>
      </c>
      <c r="C285" t="s">
        <v>4611</v>
      </c>
      <c r="D285" s="107" t="s">
        <v>2522</v>
      </c>
      <c r="E285">
        <v>46457</v>
      </c>
      <c r="F285" s="556">
        <v>451</v>
      </c>
      <c r="G285" s="541">
        <v>9.7</v>
      </c>
      <c r="H285" s="560">
        <v>0.04</v>
      </c>
      <c r="I285" s="107">
        <v>12</v>
      </c>
      <c r="K285" s="370">
        <v>1101</v>
      </c>
      <c r="L285" s="371" t="s">
        <v>499</v>
      </c>
      <c r="M285" s="372" t="s">
        <v>751</v>
      </c>
      <c r="N285" s="373" t="s">
        <v>500</v>
      </c>
      <c r="O285" s="374" t="s">
        <v>501</v>
      </c>
      <c r="P285" s="374" t="s">
        <v>754</v>
      </c>
    </row>
    <row r="286" spans="1:16" ht="12.75">
      <c r="A286">
        <v>279</v>
      </c>
      <c r="B286" s="557">
        <v>4829</v>
      </c>
      <c r="C286" t="s">
        <v>4612</v>
      </c>
      <c r="D286" s="107" t="s">
        <v>2522</v>
      </c>
      <c r="E286">
        <v>158</v>
      </c>
      <c r="F286" s="556">
        <v>449</v>
      </c>
      <c r="G286" s="541">
        <v>2844.83</v>
      </c>
      <c r="H286" s="560">
        <v>0.04</v>
      </c>
      <c r="I286" s="107">
        <v>22</v>
      </c>
      <c r="K286" s="370">
        <v>1103</v>
      </c>
      <c r="L286" s="371" t="s">
        <v>502</v>
      </c>
      <c r="M286" s="372" t="s">
        <v>751</v>
      </c>
      <c r="N286" s="373" t="s">
        <v>503</v>
      </c>
      <c r="O286" s="374" t="s">
        <v>504</v>
      </c>
      <c r="P286" s="374" t="s">
        <v>754</v>
      </c>
    </row>
    <row r="287" spans="1:16" ht="12.75">
      <c r="A287">
        <v>280</v>
      </c>
      <c r="B287" s="557">
        <v>4811</v>
      </c>
      <c r="C287" t="s">
        <v>4613</v>
      </c>
      <c r="D287" s="107" t="s">
        <v>2522</v>
      </c>
      <c r="E287">
        <v>346</v>
      </c>
      <c r="F287" s="556">
        <v>447</v>
      </c>
      <c r="G287" s="541">
        <v>1291.41</v>
      </c>
      <c r="H287" s="560">
        <v>0.04</v>
      </c>
      <c r="I287" s="107">
        <v>68</v>
      </c>
      <c r="K287" s="370">
        <v>1105</v>
      </c>
      <c r="L287" s="371" t="s">
        <v>505</v>
      </c>
      <c r="M287" s="372" t="s">
        <v>751</v>
      </c>
      <c r="N287" s="373" t="s">
        <v>506</v>
      </c>
      <c r="O287" s="374" t="s">
        <v>507</v>
      </c>
      <c r="P287" s="374" t="s">
        <v>754</v>
      </c>
    </row>
    <row r="288" spans="1:16" ht="12.75">
      <c r="A288">
        <v>281</v>
      </c>
      <c r="B288" s="557">
        <v>2237</v>
      </c>
      <c r="C288" t="s">
        <v>4614</v>
      </c>
      <c r="D288" s="107" t="s">
        <v>2439</v>
      </c>
      <c r="E288">
        <v>92504</v>
      </c>
      <c r="F288" s="556">
        <v>443</v>
      </c>
      <c r="G288" s="541">
        <v>4.78</v>
      </c>
      <c r="H288" s="560">
        <v>0.04</v>
      </c>
      <c r="I288" s="107">
        <v>13</v>
      </c>
      <c r="K288" s="370">
        <v>1111</v>
      </c>
      <c r="L288" s="371" t="s">
        <v>508</v>
      </c>
      <c r="M288" s="372" t="s">
        <v>751</v>
      </c>
      <c r="N288" s="373" t="s">
        <v>509</v>
      </c>
      <c r="O288" s="374" t="s">
        <v>510</v>
      </c>
      <c r="P288" s="374" t="s">
        <v>754</v>
      </c>
    </row>
    <row r="289" spans="1:16" ht="12.75">
      <c r="A289">
        <v>282</v>
      </c>
      <c r="B289" s="557">
        <v>14037</v>
      </c>
      <c r="C289" t="s">
        <v>4615</v>
      </c>
      <c r="D289" s="107" t="s">
        <v>2439</v>
      </c>
      <c r="E289" s="540">
        <v>3233</v>
      </c>
      <c r="F289" s="556">
        <v>442</v>
      </c>
      <c r="G289" s="541">
        <v>136.79</v>
      </c>
      <c r="H289" s="560">
        <v>0.04</v>
      </c>
      <c r="I289" s="107">
        <v>6</v>
      </c>
      <c r="K289" s="370">
        <v>1121</v>
      </c>
      <c r="L289" s="371" t="s">
        <v>511</v>
      </c>
      <c r="M289" s="372" t="s">
        <v>751</v>
      </c>
      <c r="N289" s="373" t="s">
        <v>512</v>
      </c>
      <c r="O289" s="374" t="s">
        <v>513</v>
      </c>
      <c r="P289" s="374" t="s">
        <v>754</v>
      </c>
    </row>
    <row r="290" spans="1:16" ht="12.75">
      <c r="A290">
        <v>283</v>
      </c>
      <c r="B290" s="557">
        <v>14108</v>
      </c>
      <c r="C290" t="s">
        <v>4616</v>
      </c>
      <c r="D290" s="107" t="s">
        <v>2522</v>
      </c>
      <c r="E290" s="540">
        <v>83</v>
      </c>
      <c r="F290" s="556">
        <v>442</v>
      </c>
      <c r="G290" s="541">
        <v>5325.8</v>
      </c>
      <c r="H290" s="560">
        <v>0.04</v>
      </c>
      <c r="I290" s="107">
        <v>7</v>
      </c>
      <c r="K290" s="370">
        <v>1123</v>
      </c>
      <c r="L290" s="371" t="s">
        <v>514</v>
      </c>
      <c r="M290" s="372" t="s">
        <v>751</v>
      </c>
      <c r="N290" s="373" t="s">
        <v>515</v>
      </c>
      <c r="O290" s="374" t="s">
        <v>516</v>
      </c>
      <c r="P290" s="374" t="s">
        <v>754</v>
      </c>
    </row>
    <row r="291" spans="1:16" ht="12.75">
      <c r="A291">
        <v>284</v>
      </c>
      <c r="B291" s="557">
        <v>15092</v>
      </c>
      <c r="C291" t="s">
        <v>4617</v>
      </c>
      <c r="D291" s="107" t="s">
        <v>2522</v>
      </c>
      <c r="E291" s="540">
        <v>80</v>
      </c>
      <c r="F291" s="556">
        <v>433</v>
      </c>
      <c r="G291" s="541">
        <v>5416.53</v>
      </c>
      <c r="H291" s="560">
        <v>0.04</v>
      </c>
      <c r="I291" s="107">
        <v>6</v>
      </c>
      <c r="K291" s="370">
        <v>1125</v>
      </c>
      <c r="L291" s="371" t="s">
        <v>517</v>
      </c>
      <c r="M291" s="372" t="s">
        <v>751</v>
      </c>
      <c r="N291" s="373" t="s">
        <v>518</v>
      </c>
      <c r="O291" s="374" t="s">
        <v>519</v>
      </c>
      <c r="P291" s="374" t="s">
        <v>754</v>
      </c>
    </row>
    <row r="292" spans="1:16" ht="12.75">
      <c r="A292">
        <v>285</v>
      </c>
      <c r="B292" s="557">
        <v>1559</v>
      </c>
      <c r="C292" t="s">
        <v>4618</v>
      </c>
      <c r="D292" s="107" t="s">
        <v>2522</v>
      </c>
      <c r="E292" s="540">
        <v>77</v>
      </c>
      <c r="F292" s="556">
        <v>433</v>
      </c>
      <c r="G292" s="541">
        <v>5622.65</v>
      </c>
      <c r="H292" s="560">
        <v>0.04</v>
      </c>
      <c r="I292" s="107">
        <v>13</v>
      </c>
      <c r="K292" s="370">
        <v>1138</v>
      </c>
      <c r="L292" s="371" t="s">
        <v>520</v>
      </c>
      <c r="M292" s="372" t="s">
        <v>751</v>
      </c>
      <c r="N292" s="373" t="s">
        <v>521</v>
      </c>
      <c r="O292" s="374" t="s">
        <v>522</v>
      </c>
      <c r="P292" s="374" t="s">
        <v>754</v>
      </c>
    </row>
    <row r="293" spans="1:16" ht="12.75">
      <c r="A293">
        <v>286</v>
      </c>
      <c r="B293" s="557">
        <v>1010</v>
      </c>
      <c r="C293" t="s">
        <v>4619</v>
      </c>
      <c r="D293" s="107" t="s">
        <v>2439</v>
      </c>
      <c r="E293" s="540">
        <v>20150</v>
      </c>
      <c r="F293" s="556">
        <v>431</v>
      </c>
      <c r="G293" s="541">
        <v>21.41</v>
      </c>
      <c r="H293" s="560">
        <v>0.04</v>
      </c>
      <c r="I293" s="107">
        <v>31</v>
      </c>
      <c r="K293" s="370">
        <v>1310</v>
      </c>
      <c r="L293" s="371" t="s">
        <v>523</v>
      </c>
      <c r="M293" s="372" t="s">
        <v>751</v>
      </c>
      <c r="N293" s="373" t="s">
        <v>524</v>
      </c>
      <c r="O293" s="374" t="s">
        <v>523</v>
      </c>
      <c r="P293" s="374" t="s">
        <v>754</v>
      </c>
    </row>
    <row r="294" spans="1:16" ht="12.75">
      <c r="A294">
        <v>287</v>
      </c>
      <c r="B294" s="557">
        <v>2371</v>
      </c>
      <c r="C294" t="s">
        <v>4620</v>
      </c>
      <c r="D294" s="107" t="s">
        <v>2522</v>
      </c>
      <c r="E294" s="540">
        <v>242</v>
      </c>
      <c r="F294" s="556">
        <v>427</v>
      </c>
      <c r="G294" s="541">
        <v>1766.07</v>
      </c>
      <c r="H294" s="560">
        <v>0.04</v>
      </c>
      <c r="I294" s="107">
        <v>50</v>
      </c>
      <c r="K294" s="370">
        <v>1311</v>
      </c>
      <c r="L294" s="371" t="s">
        <v>525</v>
      </c>
      <c r="M294" s="372" t="s">
        <v>751</v>
      </c>
      <c r="N294" s="373" t="s">
        <v>526</v>
      </c>
      <c r="O294" s="374" t="s">
        <v>525</v>
      </c>
      <c r="P294" s="374" t="s">
        <v>754</v>
      </c>
    </row>
    <row r="295" spans="1:16" ht="12.75">
      <c r="A295">
        <v>288</v>
      </c>
      <c r="B295" s="557" t="s">
        <v>4621</v>
      </c>
      <c r="C295" t="s">
        <v>4622</v>
      </c>
      <c r="D295" s="107" t="s">
        <v>1772</v>
      </c>
      <c r="E295" s="540">
        <v>56801</v>
      </c>
      <c r="F295" s="556">
        <v>421</v>
      </c>
      <c r="G295" s="541">
        <v>7.41</v>
      </c>
      <c r="H295" s="560">
        <v>0.04</v>
      </c>
      <c r="I295" s="107">
        <v>2</v>
      </c>
      <c r="K295" s="370">
        <v>1312</v>
      </c>
      <c r="L295" s="371" t="s">
        <v>527</v>
      </c>
      <c r="M295" s="372" t="s">
        <v>751</v>
      </c>
      <c r="N295" s="373" t="s">
        <v>528</v>
      </c>
      <c r="O295" s="374" t="s">
        <v>527</v>
      </c>
      <c r="P295" s="374" t="s">
        <v>754</v>
      </c>
    </row>
    <row r="296" spans="1:14" ht="12.75">
      <c r="A296">
        <v>289</v>
      </c>
      <c r="B296" s="557" t="s">
        <v>4175</v>
      </c>
      <c r="C296" t="s">
        <v>4623</v>
      </c>
      <c r="D296" s="107" t="s">
        <v>3417</v>
      </c>
      <c r="E296" s="540">
        <v>4880</v>
      </c>
      <c r="F296" s="556">
        <v>420</v>
      </c>
      <c r="G296" s="541">
        <v>86.11</v>
      </c>
      <c r="H296" s="560">
        <v>0.04</v>
      </c>
      <c r="I296" s="107">
        <v>12</v>
      </c>
      <c r="K296" s="370">
        <v>1314</v>
      </c>
      <c r="L296" s="371" t="s">
        <v>529</v>
      </c>
      <c r="M296" s="372" t="s">
        <v>2821</v>
      </c>
      <c r="N296" s="373"/>
    </row>
    <row r="297" spans="1:14" ht="12.75">
      <c r="A297">
        <v>290</v>
      </c>
      <c r="B297" s="557" t="s">
        <v>4109</v>
      </c>
      <c r="C297" t="s">
        <v>4624</v>
      </c>
      <c r="D297" s="107" t="s">
        <v>2439</v>
      </c>
      <c r="E297" s="540">
        <v>3760</v>
      </c>
      <c r="F297" s="556">
        <v>420</v>
      </c>
      <c r="G297" s="541">
        <v>111.72</v>
      </c>
      <c r="H297" s="560">
        <v>0.04</v>
      </c>
      <c r="I297" s="107">
        <v>5</v>
      </c>
      <c r="K297" s="370">
        <v>1315</v>
      </c>
      <c r="L297" s="371" t="s">
        <v>530</v>
      </c>
      <c r="M297" s="372" t="s">
        <v>2821</v>
      </c>
      <c r="N297" s="373"/>
    </row>
    <row r="298" spans="1:16" ht="12.75">
      <c r="A298">
        <v>291</v>
      </c>
      <c r="B298" s="557">
        <v>17007</v>
      </c>
      <c r="C298" t="s">
        <v>4625</v>
      </c>
      <c r="D298" s="107" t="s">
        <v>2439</v>
      </c>
      <c r="E298" s="540">
        <v>3884</v>
      </c>
      <c r="F298" s="556">
        <v>419</v>
      </c>
      <c r="G298" s="541">
        <v>108</v>
      </c>
      <c r="H298" s="560">
        <v>0.04</v>
      </c>
      <c r="I298" s="107">
        <v>1</v>
      </c>
      <c r="K298" s="370">
        <v>1370</v>
      </c>
      <c r="L298" s="371" t="s">
        <v>531</v>
      </c>
      <c r="M298" s="372" t="s">
        <v>2821</v>
      </c>
      <c r="N298" s="373" t="s">
        <v>532</v>
      </c>
      <c r="O298" s="374" t="s">
        <v>533</v>
      </c>
      <c r="P298" s="374" t="s">
        <v>2821</v>
      </c>
    </row>
    <row r="299" spans="1:16" ht="12.75">
      <c r="A299">
        <v>292</v>
      </c>
      <c r="B299" s="557" t="s">
        <v>4226</v>
      </c>
      <c r="C299" t="s">
        <v>4626</v>
      </c>
      <c r="D299" s="107" t="s">
        <v>1771</v>
      </c>
      <c r="E299" s="540">
        <v>3925</v>
      </c>
      <c r="F299" s="556">
        <v>416</v>
      </c>
      <c r="G299" s="541">
        <v>106</v>
      </c>
      <c r="H299" s="560">
        <v>0.03</v>
      </c>
      <c r="I299" s="107">
        <v>1</v>
      </c>
      <c r="K299" s="370">
        <v>1371</v>
      </c>
      <c r="L299" s="371" t="s">
        <v>534</v>
      </c>
      <c r="M299" s="372" t="s">
        <v>2821</v>
      </c>
      <c r="N299" s="373" t="s">
        <v>535</v>
      </c>
      <c r="O299" s="374" t="s">
        <v>536</v>
      </c>
      <c r="P299" s="374" t="s">
        <v>2821</v>
      </c>
    </row>
    <row r="300" spans="1:16" ht="12.75">
      <c r="A300">
        <v>293</v>
      </c>
      <c r="B300" s="557">
        <v>6583</v>
      </c>
      <c r="C300" t="s">
        <v>4627</v>
      </c>
      <c r="D300" s="107" t="s">
        <v>2522</v>
      </c>
      <c r="E300" s="540">
        <v>42071</v>
      </c>
      <c r="F300" s="556">
        <v>415</v>
      </c>
      <c r="G300" s="541">
        <v>9.87</v>
      </c>
      <c r="H300" s="560">
        <v>0.03</v>
      </c>
      <c r="I300" s="107">
        <v>8</v>
      </c>
      <c r="K300" s="370">
        <v>1372</v>
      </c>
      <c r="L300" s="371" t="s">
        <v>537</v>
      </c>
      <c r="M300" s="372" t="s">
        <v>2821</v>
      </c>
      <c r="N300" s="373" t="s">
        <v>538</v>
      </c>
      <c r="O300" s="374" t="s">
        <v>539</v>
      </c>
      <c r="P300" s="374" t="s">
        <v>2821</v>
      </c>
    </row>
    <row r="301" spans="1:16" ht="12.75">
      <c r="A301">
        <v>294</v>
      </c>
      <c r="B301" s="557">
        <v>6557</v>
      </c>
      <c r="C301" t="s">
        <v>4628</v>
      </c>
      <c r="D301" s="107" t="s">
        <v>2439</v>
      </c>
      <c r="E301" s="540">
        <v>75937</v>
      </c>
      <c r="F301" s="556">
        <v>415</v>
      </c>
      <c r="G301" s="541">
        <v>5.46</v>
      </c>
      <c r="H301" s="560">
        <v>0.03</v>
      </c>
      <c r="I301" s="107">
        <v>26</v>
      </c>
      <c r="K301" s="370">
        <v>1373</v>
      </c>
      <c r="L301" s="371" t="s">
        <v>540</v>
      </c>
      <c r="M301" s="372" t="s">
        <v>2821</v>
      </c>
      <c r="N301" s="373" t="s">
        <v>541</v>
      </c>
      <c r="O301" s="374" t="s">
        <v>542</v>
      </c>
      <c r="P301" s="374" t="s">
        <v>2821</v>
      </c>
    </row>
    <row r="302" spans="1:16" ht="12.75">
      <c r="A302">
        <v>295</v>
      </c>
      <c r="B302" s="557">
        <v>6401</v>
      </c>
      <c r="C302" t="s">
        <v>4629</v>
      </c>
      <c r="D302" s="107" t="s">
        <v>2522</v>
      </c>
      <c r="E302" s="540">
        <v>8119</v>
      </c>
      <c r="F302" s="556">
        <v>413</v>
      </c>
      <c r="G302" s="541">
        <v>50.92</v>
      </c>
      <c r="H302" s="560">
        <v>0.03</v>
      </c>
      <c r="I302" s="107">
        <v>22</v>
      </c>
      <c r="K302" s="370">
        <v>1374</v>
      </c>
      <c r="L302" s="371" t="s">
        <v>543</v>
      </c>
      <c r="M302" s="372" t="s">
        <v>2821</v>
      </c>
      <c r="N302" s="373" t="s">
        <v>544</v>
      </c>
      <c r="O302" s="374" t="s">
        <v>545</v>
      </c>
      <c r="P302" s="374" t="s">
        <v>2821</v>
      </c>
    </row>
    <row r="303" spans="1:16" ht="12.75">
      <c r="A303">
        <v>296</v>
      </c>
      <c r="B303" s="557" t="s">
        <v>4630</v>
      </c>
      <c r="C303" t="s">
        <v>4631</v>
      </c>
      <c r="D303" s="107" t="s">
        <v>2439</v>
      </c>
      <c r="E303" s="540">
        <v>4789</v>
      </c>
      <c r="F303" s="556">
        <v>409</v>
      </c>
      <c r="G303" s="541">
        <v>85.34</v>
      </c>
      <c r="H303" s="560">
        <v>0.03</v>
      </c>
      <c r="I303" s="107">
        <v>1</v>
      </c>
      <c r="K303" s="370">
        <v>1375</v>
      </c>
      <c r="L303" s="371" t="s">
        <v>546</v>
      </c>
      <c r="M303" s="372" t="s">
        <v>2821</v>
      </c>
      <c r="N303" s="373" t="s">
        <v>547</v>
      </c>
      <c r="O303" s="374" t="s">
        <v>548</v>
      </c>
      <c r="P303" s="374" t="s">
        <v>2821</v>
      </c>
    </row>
    <row r="304" spans="1:16" ht="12.75">
      <c r="A304">
        <v>297</v>
      </c>
      <c r="B304" s="557">
        <v>8661</v>
      </c>
      <c r="C304" t="s">
        <v>4632</v>
      </c>
      <c r="D304" s="107" t="s">
        <v>2439</v>
      </c>
      <c r="E304" s="540">
        <v>1239</v>
      </c>
      <c r="F304" s="556">
        <v>404</v>
      </c>
      <c r="G304" s="541">
        <v>326.52</v>
      </c>
      <c r="H304" s="560">
        <v>0.03</v>
      </c>
      <c r="I304" s="107">
        <v>6</v>
      </c>
      <c r="K304" s="370">
        <v>1376</v>
      </c>
      <c r="L304" s="371" t="s">
        <v>549</v>
      </c>
      <c r="M304" s="372" t="s">
        <v>2821</v>
      </c>
      <c r="N304" s="373" t="s">
        <v>550</v>
      </c>
      <c r="O304" s="374" t="s">
        <v>551</v>
      </c>
      <c r="P304" s="374" t="s">
        <v>2821</v>
      </c>
    </row>
    <row r="305" spans="1:16" ht="12.75">
      <c r="A305">
        <v>298</v>
      </c>
      <c r="B305" s="557">
        <v>1615</v>
      </c>
      <c r="C305" t="s">
        <v>4633</v>
      </c>
      <c r="D305" s="107" t="s">
        <v>2522</v>
      </c>
      <c r="E305" s="540">
        <v>34</v>
      </c>
      <c r="F305" s="556">
        <v>403</v>
      </c>
      <c r="G305" s="541">
        <v>11838.24</v>
      </c>
      <c r="H305" s="560">
        <v>0.03</v>
      </c>
      <c r="I305" s="107">
        <v>1</v>
      </c>
      <c r="K305" s="370">
        <v>1377</v>
      </c>
      <c r="L305" s="371" t="s">
        <v>552</v>
      </c>
      <c r="M305" s="372" t="s">
        <v>2821</v>
      </c>
      <c r="N305" s="373" t="s">
        <v>553</v>
      </c>
      <c r="O305" s="374" t="s">
        <v>554</v>
      </c>
      <c r="P305" s="374" t="s">
        <v>2821</v>
      </c>
    </row>
    <row r="306" spans="1:16" ht="12.75">
      <c r="A306">
        <v>299</v>
      </c>
      <c r="B306" s="557">
        <v>2071</v>
      </c>
      <c r="C306" t="s">
        <v>4634</v>
      </c>
      <c r="D306" s="107" t="s">
        <v>1772</v>
      </c>
      <c r="E306" s="540">
        <v>2327</v>
      </c>
      <c r="F306" s="556">
        <v>402</v>
      </c>
      <c r="G306" s="541">
        <v>172.89</v>
      </c>
      <c r="H306" s="560">
        <v>0.03</v>
      </c>
      <c r="I306" s="107">
        <v>2</v>
      </c>
      <c r="K306" s="370">
        <v>1378</v>
      </c>
      <c r="L306" s="371" t="s">
        <v>555</v>
      </c>
      <c r="M306" s="372" t="s">
        <v>2821</v>
      </c>
      <c r="N306" s="373" t="s">
        <v>556</v>
      </c>
      <c r="O306" s="374" t="s">
        <v>557</v>
      </c>
      <c r="P306" s="374" t="s">
        <v>2821</v>
      </c>
    </row>
    <row r="307" spans="1:16" ht="12.75">
      <c r="A307">
        <v>300</v>
      </c>
      <c r="B307" s="557">
        <v>8549</v>
      </c>
      <c r="C307" t="s">
        <v>4635</v>
      </c>
      <c r="D307" s="107" t="s">
        <v>1772</v>
      </c>
      <c r="E307" s="540">
        <v>36045</v>
      </c>
      <c r="F307" s="556">
        <v>401</v>
      </c>
      <c r="G307" s="541">
        <v>11.14</v>
      </c>
      <c r="H307" s="560">
        <v>0.03</v>
      </c>
      <c r="I307" s="107">
        <v>15</v>
      </c>
      <c r="K307" s="370">
        <v>1379</v>
      </c>
      <c r="L307" s="371" t="s">
        <v>558</v>
      </c>
      <c r="M307" s="372" t="s">
        <v>2821</v>
      </c>
      <c r="N307" s="373" t="s">
        <v>1320</v>
      </c>
      <c r="O307" s="374" t="s">
        <v>567</v>
      </c>
      <c r="P307" s="374" t="s">
        <v>2821</v>
      </c>
    </row>
    <row r="308" spans="1:16" ht="12.75">
      <c r="A308">
        <v>301</v>
      </c>
      <c r="B308" s="557">
        <v>2369</v>
      </c>
      <c r="C308" t="s">
        <v>4636</v>
      </c>
      <c r="D308" s="107" t="s">
        <v>2522</v>
      </c>
      <c r="E308" s="540">
        <v>372</v>
      </c>
      <c r="F308" s="556">
        <v>400</v>
      </c>
      <c r="G308" s="541">
        <v>1076.4</v>
      </c>
      <c r="H308" s="560">
        <v>0.03</v>
      </c>
      <c r="I308" s="107">
        <v>32</v>
      </c>
      <c r="K308" s="370">
        <v>1380</v>
      </c>
      <c r="L308" s="371" t="s">
        <v>568</v>
      </c>
      <c r="M308" s="372" t="s">
        <v>2821</v>
      </c>
      <c r="N308" s="373" t="s">
        <v>569</v>
      </c>
      <c r="O308" s="374" t="s">
        <v>570</v>
      </c>
      <c r="P308" s="374" t="s">
        <v>2821</v>
      </c>
    </row>
    <row r="309" spans="1:16" ht="12.75">
      <c r="A309">
        <v>302</v>
      </c>
      <c r="B309" s="557" t="s">
        <v>4637</v>
      </c>
      <c r="C309" t="s">
        <v>4638</v>
      </c>
      <c r="D309" s="107" t="s">
        <v>1773</v>
      </c>
      <c r="E309" s="540">
        <v>274</v>
      </c>
      <c r="F309" s="556">
        <v>400</v>
      </c>
      <c r="G309" s="541">
        <v>1459.47</v>
      </c>
      <c r="H309" s="560">
        <v>0.03</v>
      </c>
      <c r="I309" s="107">
        <v>1</v>
      </c>
      <c r="K309" s="370">
        <v>1381</v>
      </c>
      <c r="L309" s="371" t="s">
        <v>571</v>
      </c>
      <c r="M309" s="372" t="s">
        <v>2821</v>
      </c>
      <c r="N309" s="373" t="s">
        <v>572</v>
      </c>
      <c r="O309" s="374" t="s">
        <v>573</v>
      </c>
      <c r="P309" s="374" t="s">
        <v>2821</v>
      </c>
    </row>
    <row r="310" spans="1:16" ht="12.75">
      <c r="A310">
        <v>303</v>
      </c>
      <c r="B310" s="557">
        <v>5964</v>
      </c>
      <c r="C310" t="s">
        <v>4639</v>
      </c>
      <c r="D310" s="107" t="s">
        <v>1771</v>
      </c>
      <c r="E310" s="540">
        <v>332</v>
      </c>
      <c r="F310" s="556">
        <v>397</v>
      </c>
      <c r="G310" s="541">
        <v>1198.48</v>
      </c>
      <c r="H310" s="560">
        <v>0.03</v>
      </c>
      <c r="I310" s="107">
        <v>87</v>
      </c>
      <c r="K310" s="370">
        <v>1382</v>
      </c>
      <c r="L310" s="371" t="s">
        <v>574</v>
      </c>
      <c r="M310" s="372" t="s">
        <v>2821</v>
      </c>
      <c r="N310" s="373" t="s">
        <v>575</v>
      </c>
      <c r="O310" s="374" t="s">
        <v>576</v>
      </c>
      <c r="P310" s="374" t="s">
        <v>2821</v>
      </c>
    </row>
    <row r="311" spans="1:16" ht="12.75">
      <c r="A311">
        <v>304</v>
      </c>
      <c r="B311" s="557" t="s">
        <v>4105</v>
      </c>
      <c r="C311" t="s">
        <v>4640</v>
      </c>
      <c r="D311" s="107" t="s">
        <v>2522</v>
      </c>
      <c r="E311" s="540">
        <v>93</v>
      </c>
      <c r="F311" s="556">
        <v>394</v>
      </c>
      <c r="G311" s="541">
        <v>4238.54</v>
      </c>
      <c r="H311" s="560">
        <v>0.03</v>
      </c>
      <c r="I311" s="107">
        <v>43</v>
      </c>
      <c r="K311" s="370">
        <v>1383</v>
      </c>
      <c r="L311" s="371" t="s">
        <v>577</v>
      </c>
      <c r="M311" s="372" t="s">
        <v>2821</v>
      </c>
      <c r="N311" s="373" t="s">
        <v>578</v>
      </c>
      <c r="O311" s="374" t="s">
        <v>579</v>
      </c>
      <c r="P311" s="374" t="s">
        <v>2821</v>
      </c>
    </row>
    <row r="312" spans="1:16" ht="12.75">
      <c r="A312">
        <v>305</v>
      </c>
      <c r="B312" s="557">
        <v>1490</v>
      </c>
      <c r="C312" t="s">
        <v>4641</v>
      </c>
      <c r="D312" s="107" t="s">
        <v>2522</v>
      </c>
      <c r="E312" s="540">
        <v>67</v>
      </c>
      <c r="F312" s="556">
        <v>390</v>
      </c>
      <c r="G312" s="541">
        <v>5819.89</v>
      </c>
      <c r="H312" s="560">
        <v>0.03</v>
      </c>
      <c r="I312" s="107">
        <v>16</v>
      </c>
      <c r="K312" s="370">
        <v>1390</v>
      </c>
      <c r="L312" s="371" t="s">
        <v>580</v>
      </c>
      <c r="M312" s="372" t="s">
        <v>2821</v>
      </c>
      <c r="N312" s="373" t="s">
        <v>581</v>
      </c>
      <c r="O312" s="374" t="s">
        <v>582</v>
      </c>
      <c r="P312" s="374" t="s">
        <v>2821</v>
      </c>
    </row>
    <row r="313" spans="1:16" ht="12.75">
      <c r="A313">
        <v>306</v>
      </c>
      <c r="B313" s="557" t="s">
        <v>4642</v>
      </c>
      <c r="C313" t="s">
        <v>4643</v>
      </c>
      <c r="D313" s="107" t="s">
        <v>3418</v>
      </c>
      <c r="E313" s="540">
        <v>90</v>
      </c>
      <c r="F313" s="556">
        <v>389</v>
      </c>
      <c r="G313" s="541">
        <v>4324.63</v>
      </c>
      <c r="H313" s="560">
        <v>0.03</v>
      </c>
      <c r="I313" s="107">
        <v>2</v>
      </c>
      <c r="K313" s="370">
        <v>1391</v>
      </c>
      <c r="L313" s="371" t="s">
        <v>583</v>
      </c>
      <c r="M313" s="372" t="s">
        <v>2821</v>
      </c>
      <c r="N313" s="373" t="s">
        <v>584</v>
      </c>
      <c r="O313" s="374" t="s">
        <v>585</v>
      </c>
      <c r="P313" s="374" t="s">
        <v>2821</v>
      </c>
    </row>
    <row r="314" spans="1:16" ht="12.75">
      <c r="A314">
        <v>307</v>
      </c>
      <c r="B314" s="557" t="s">
        <v>4097</v>
      </c>
      <c r="C314" t="s">
        <v>4644</v>
      </c>
      <c r="D314" s="107" t="s">
        <v>2522</v>
      </c>
      <c r="E314" s="540">
        <v>42</v>
      </c>
      <c r="F314" s="556">
        <v>388</v>
      </c>
      <c r="G314" s="541">
        <v>9236.53</v>
      </c>
      <c r="H314" s="560">
        <v>0.03</v>
      </c>
      <c r="I314" s="107">
        <v>22</v>
      </c>
      <c r="K314" s="370">
        <v>1392</v>
      </c>
      <c r="L314" s="371" t="s">
        <v>586</v>
      </c>
      <c r="M314" s="372" t="s">
        <v>2821</v>
      </c>
      <c r="N314" s="373" t="s">
        <v>587</v>
      </c>
      <c r="O314" s="374" t="s">
        <v>588</v>
      </c>
      <c r="P314" s="374" t="s">
        <v>2821</v>
      </c>
    </row>
    <row r="315" spans="1:16" ht="12.75">
      <c r="A315">
        <v>308</v>
      </c>
      <c r="B315" s="557">
        <v>8500</v>
      </c>
      <c r="C315" t="s">
        <v>4645</v>
      </c>
      <c r="D315" s="107" t="s">
        <v>1772</v>
      </c>
      <c r="E315" s="540">
        <v>634</v>
      </c>
      <c r="F315" s="556">
        <v>385</v>
      </c>
      <c r="G315" s="541">
        <v>607.91</v>
      </c>
      <c r="H315" s="560">
        <v>0.03</v>
      </c>
      <c r="I315" s="107">
        <v>2</v>
      </c>
      <c r="K315" s="370">
        <v>1393</v>
      </c>
      <c r="L315" s="371" t="s">
        <v>589</v>
      </c>
      <c r="M315" s="372" t="s">
        <v>2821</v>
      </c>
      <c r="N315" s="373" t="s">
        <v>590</v>
      </c>
      <c r="O315" s="374" t="s">
        <v>591</v>
      </c>
      <c r="P315" s="374" t="s">
        <v>2821</v>
      </c>
    </row>
    <row r="316" spans="1:16" ht="12.75">
      <c r="A316">
        <v>309</v>
      </c>
      <c r="B316" s="557">
        <v>5992</v>
      </c>
      <c r="C316" t="s">
        <v>4646</v>
      </c>
      <c r="D316" s="107" t="s">
        <v>1771</v>
      </c>
      <c r="E316" s="540">
        <v>4792</v>
      </c>
      <c r="F316" s="556">
        <v>384</v>
      </c>
      <c r="G316" s="541">
        <v>80.23</v>
      </c>
      <c r="H316" s="560">
        <v>0.03</v>
      </c>
      <c r="I316" s="107">
        <v>79</v>
      </c>
      <c r="K316" s="370">
        <v>1394</v>
      </c>
      <c r="L316" s="371" t="s">
        <v>592</v>
      </c>
      <c r="M316" s="372" t="s">
        <v>2821</v>
      </c>
      <c r="N316" s="373" t="s">
        <v>593</v>
      </c>
      <c r="O316" s="374" t="s">
        <v>594</v>
      </c>
      <c r="P316" s="374" t="s">
        <v>2821</v>
      </c>
    </row>
    <row r="317" spans="1:16" ht="12.75">
      <c r="A317">
        <v>310</v>
      </c>
      <c r="B317" s="557" t="s">
        <v>4215</v>
      </c>
      <c r="C317" t="s">
        <v>4216</v>
      </c>
      <c r="D317" s="107" t="s">
        <v>2522</v>
      </c>
      <c r="E317" s="540">
        <v>194</v>
      </c>
      <c r="F317" s="556">
        <v>384</v>
      </c>
      <c r="G317" s="541">
        <v>1977.39</v>
      </c>
      <c r="H317" s="560">
        <v>0.03</v>
      </c>
      <c r="I317" s="107">
        <v>35</v>
      </c>
      <c r="K317" s="370">
        <v>1395</v>
      </c>
      <c r="L317" s="371" t="s">
        <v>595</v>
      </c>
      <c r="M317" s="372" t="s">
        <v>2821</v>
      </c>
      <c r="N317" s="373" t="s">
        <v>596</v>
      </c>
      <c r="O317" s="374" t="s">
        <v>597</v>
      </c>
      <c r="P317" s="374" t="s">
        <v>2821</v>
      </c>
    </row>
    <row r="318" spans="1:16" ht="12.75">
      <c r="A318">
        <v>311</v>
      </c>
      <c r="B318" s="557" t="s">
        <v>4647</v>
      </c>
      <c r="C318" t="s">
        <v>4648</v>
      </c>
      <c r="D318" s="107" t="s">
        <v>2439</v>
      </c>
      <c r="E318" s="540">
        <v>110</v>
      </c>
      <c r="F318" s="556">
        <v>380</v>
      </c>
      <c r="G318" s="541">
        <v>3450</v>
      </c>
      <c r="H318" s="560">
        <v>0.03</v>
      </c>
      <c r="I318" s="107">
        <v>1</v>
      </c>
      <c r="K318" s="370">
        <v>1396</v>
      </c>
      <c r="L318" s="371" t="s">
        <v>598</v>
      </c>
      <c r="M318" s="372" t="s">
        <v>2821</v>
      </c>
      <c r="N318" s="373" t="s">
        <v>599</v>
      </c>
      <c r="O318" s="374" t="s">
        <v>600</v>
      </c>
      <c r="P318" s="374" t="s">
        <v>2821</v>
      </c>
    </row>
    <row r="319" spans="1:16" ht="12.75">
      <c r="A319">
        <v>312</v>
      </c>
      <c r="B319" s="557">
        <v>6580</v>
      </c>
      <c r="C319" t="s">
        <v>4649</v>
      </c>
      <c r="D319" s="107" t="s">
        <v>2522</v>
      </c>
      <c r="E319" s="540">
        <v>38838</v>
      </c>
      <c r="F319" s="556">
        <v>377</v>
      </c>
      <c r="G319" s="541">
        <v>9.72</v>
      </c>
      <c r="H319" s="560">
        <v>0.03</v>
      </c>
      <c r="I319" s="107">
        <v>10</v>
      </c>
      <c r="K319" s="370">
        <v>1397</v>
      </c>
      <c r="L319" s="371" t="s">
        <v>601</v>
      </c>
      <c r="M319" s="372" t="s">
        <v>2821</v>
      </c>
      <c r="N319" s="373" t="s">
        <v>602</v>
      </c>
      <c r="O319" s="374" t="s">
        <v>603</v>
      </c>
      <c r="P319" s="374" t="s">
        <v>2821</v>
      </c>
    </row>
    <row r="320" spans="1:16" ht="12.75">
      <c r="A320">
        <v>313</v>
      </c>
      <c r="B320" s="557">
        <v>6549</v>
      </c>
      <c r="C320" t="s">
        <v>4650</v>
      </c>
      <c r="D320" s="107" t="s">
        <v>2439</v>
      </c>
      <c r="E320" s="540">
        <v>143070</v>
      </c>
      <c r="F320" s="556">
        <v>376</v>
      </c>
      <c r="G320" s="541">
        <v>2.63</v>
      </c>
      <c r="H320" s="560">
        <v>0.03</v>
      </c>
      <c r="I320" s="107">
        <v>29</v>
      </c>
      <c r="K320" s="370">
        <v>1398</v>
      </c>
      <c r="L320" s="371" t="s">
        <v>604</v>
      </c>
      <c r="M320" s="372" t="s">
        <v>2821</v>
      </c>
      <c r="N320" s="373" t="s">
        <v>605</v>
      </c>
      <c r="O320" s="374" t="s">
        <v>606</v>
      </c>
      <c r="P320" s="374" t="s">
        <v>2821</v>
      </c>
    </row>
    <row r="321" spans="1:16" ht="12.75">
      <c r="A321">
        <v>314</v>
      </c>
      <c r="B321" s="557" t="s">
        <v>4122</v>
      </c>
      <c r="C321" t="s">
        <v>4651</v>
      </c>
      <c r="D321" s="107" t="s">
        <v>2441</v>
      </c>
      <c r="E321" s="540">
        <v>8</v>
      </c>
      <c r="F321" s="556">
        <v>373</v>
      </c>
      <c r="G321" s="541">
        <v>46675</v>
      </c>
      <c r="H321" s="560">
        <v>0.03</v>
      </c>
      <c r="I321" s="107">
        <v>8</v>
      </c>
      <c r="K321" s="370">
        <v>1399</v>
      </c>
      <c r="L321" s="371" t="s">
        <v>607</v>
      </c>
      <c r="M321" s="372" t="s">
        <v>2821</v>
      </c>
      <c r="N321" s="373" t="s">
        <v>608</v>
      </c>
      <c r="O321" s="374" t="s">
        <v>609</v>
      </c>
      <c r="P321" s="374" t="s">
        <v>2821</v>
      </c>
    </row>
    <row r="322" spans="1:16" ht="12.75">
      <c r="A322">
        <v>315</v>
      </c>
      <c r="B322" s="557">
        <v>15017</v>
      </c>
      <c r="C322" t="s">
        <v>4205</v>
      </c>
      <c r="D322" s="107" t="s">
        <v>2439</v>
      </c>
      <c r="E322" s="540">
        <v>627</v>
      </c>
      <c r="F322" s="556">
        <v>371</v>
      </c>
      <c r="G322" s="541">
        <v>592.31</v>
      </c>
      <c r="H322" s="560">
        <v>0.03</v>
      </c>
      <c r="I322" s="107">
        <v>2</v>
      </c>
      <c r="K322" s="370">
        <v>1410</v>
      </c>
      <c r="L322" s="371" t="s">
        <v>610</v>
      </c>
      <c r="M322" s="372" t="s">
        <v>2821</v>
      </c>
      <c r="N322" s="373" t="s">
        <v>611</v>
      </c>
      <c r="O322" s="374" t="s">
        <v>3117</v>
      </c>
      <c r="P322" s="374" t="s">
        <v>2821</v>
      </c>
    </row>
    <row r="323" spans="1:16" ht="12.75">
      <c r="A323">
        <v>316</v>
      </c>
      <c r="B323" s="557">
        <v>8672</v>
      </c>
      <c r="C323" t="s">
        <v>4652</v>
      </c>
      <c r="D323" s="107" t="s">
        <v>2439</v>
      </c>
      <c r="E323" s="540">
        <v>655</v>
      </c>
      <c r="F323" s="556">
        <v>370</v>
      </c>
      <c r="G323" s="541">
        <v>565</v>
      </c>
      <c r="H323" s="560">
        <v>0.03</v>
      </c>
      <c r="I323" s="107">
        <v>1</v>
      </c>
      <c r="K323" s="370">
        <v>1411</v>
      </c>
      <c r="L323" s="371" t="s">
        <v>3118</v>
      </c>
      <c r="M323" s="372" t="s">
        <v>2821</v>
      </c>
      <c r="N323" s="373" t="s">
        <v>3119</v>
      </c>
      <c r="O323" s="374" t="s">
        <v>3120</v>
      </c>
      <c r="P323" s="374" t="s">
        <v>2821</v>
      </c>
    </row>
    <row r="324" spans="1:16" ht="12.75">
      <c r="A324">
        <v>317</v>
      </c>
      <c r="B324" s="557">
        <v>8903</v>
      </c>
      <c r="C324" t="s">
        <v>4653</v>
      </c>
      <c r="D324" s="107" t="s">
        <v>2522</v>
      </c>
      <c r="E324" s="540">
        <v>51</v>
      </c>
      <c r="F324" s="556">
        <v>370</v>
      </c>
      <c r="G324" s="541">
        <v>7246.63</v>
      </c>
      <c r="H324" s="560">
        <v>0.03</v>
      </c>
      <c r="I324" s="107">
        <v>12</v>
      </c>
      <c r="K324" s="370">
        <v>1412</v>
      </c>
      <c r="L324" s="371" t="s">
        <v>3121</v>
      </c>
      <c r="M324" s="372" t="s">
        <v>2821</v>
      </c>
      <c r="N324" s="373" t="s">
        <v>3122</v>
      </c>
      <c r="O324" s="374" t="s">
        <v>3123</v>
      </c>
      <c r="P324" s="374" t="s">
        <v>2821</v>
      </c>
    </row>
    <row r="325" spans="1:16" ht="12.75">
      <c r="A325">
        <v>318</v>
      </c>
      <c r="B325" s="557" t="s">
        <v>3423</v>
      </c>
      <c r="C325" t="s">
        <v>4654</v>
      </c>
      <c r="D325" s="107" t="s">
        <v>3417</v>
      </c>
      <c r="E325" s="540">
        <v>6066</v>
      </c>
      <c r="F325" s="556">
        <v>368</v>
      </c>
      <c r="G325" s="541">
        <v>60.65</v>
      </c>
      <c r="H325" s="560">
        <v>0.03</v>
      </c>
      <c r="I325" s="107">
        <v>25</v>
      </c>
      <c r="K325" s="370">
        <v>1413</v>
      </c>
      <c r="L325" s="371" t="s">
        <v>3124</v>
      </c>
      <c r="M325" s="372" t="s">
        <v>2821</v>
      </c>
      <c r="N325" s="373" t="s">
        <v>3125</v>
      </c>
      <c r="O325" s="374" t="s">
        <v>1688</v>
      </c>
      <c r="P325" s="374" t="s">
        <v>2821</v>
      </c>
    </row>
    <row r="326" spans="1:16" ht="12.75">
      <c r="A326">
        <v>319</v>
      </c>
      <c r="B326" s="557">
        <v>14019</v>
      </c>
      <c r="C326" t="s">
        <v>4655</v>
      </c>
      <c r="D326" s="107" t="s">
        <v>2522</v>
      </c>
      <c r="E326" s="540">
        <v>41</v>
      </c>
      <c r="F326" s="556">
        <v>363</v>
      </c>
      <c r="G326" s="541">
        <v>8844.59</v>
      </c>
      <c r="H326" s="560">
        <v>0.03</v>
      </c>
      <c r="I326" s="107">
        <v>8</v>
      </c>
      <c r="K326" s="370">
        <v>1414</v>
      </c>
      <c r="L326" s="371" t="s">
        <v>1689</v>
      </c>
      <c r="M326" s="372" t="s">
        <v>2821</v>
      </c>
      <c r="N326" s="373" t="s">
        <v>1690</v>
      </c>
      <c r="O326" s="374" t="s">
        <v>1691</v>
      </c>
      <c r="P326" s="374" t="s">
        <v>2821</v>
      </c>
    </row>
    <row r="327" spans="1:16" ht="12.75">
      <c r="A327">
        <v>320</v>
      </c>
      <c r="B327" s="557">
        <v>2429</v>
      </c>
      <c r="C327" t="s">
        <v>4656</v>
      </c>
      <c r="D327" s="107" t="s">
        <v>2522</v>
      </c>
      <c r="E327" s="540">
        <v>2052</v>
      </c>
      <c r="F327" s="556">
        <v>361</v>
      </c>
      <c r="G327" s="541">
        <v>175.89</v>
      </c>
      <c r="H327" s="560">
        <v>0.03</v>
      </c>
      <c r="I327" s="107">
        <v>37</v>
      </c>
      <c r="K327" s="370">
        <v>1415</v>
      </c>
      <c r="L327" s="371" t="s">
        <v>1692</v>
      </c>
      <c r="M327" s="372" t="s">
        <v>2821</v>
      </c>
      <c r="N327" s="373" t="s">
        <v>1693</v>
      </c>
      <c r="O327" s="374" t="s">
        <v>1694</v>
      </c>
      <c r="P327" s="374" t="s">
        <v>2821</v>
      </c>
    </row>
    <row r="328" spans="1:16" ht="12.75">
      <c r="A328">
        <v>321</v>
      </c>
      <c r="B328" s="557">
        <v>14036</v>
      </c>
      <c r="C328" t="s">
        <v>4657</v>
      </c>
      <c r="D328" s="107" t="s">
        <v>2439</v>
      </c>
      <c r="E328" s="540">
        <v>3947</v>
      </c>
      <c r="F328" s="556">
        <v>359</v>
      </c>
      <c r="G328" s="541">
        <v>91.06</v>
      </c>
      <c r="H328" s="560">
        <v>0.03</v>
      </c>
      <c r="I328" s="107">
        <v>7</v>
      </c>
      <c r="K328" s="370">
        <v>1416</v>
      </c>
      <c r="L328" s="371" t="s">
        <v>1695</v>
      </c>
      <c r="M328" s="372" t="s">
        <v>2821</v>
      </c>
      <c r="N328" s="373" t="s">
        <v>1696</v>
      </c>
      <c r="O328" s="374" t="s">
        <v>1697</v>
      </c>
      <c r="P328" s="374" t="s">
        <v>2821</v>
      </c>
    </row>
    <row r="329" spans="1:16" ht="12.75">
      <c r="A329">
        <v>322</v>
      </c>
      <c r="B329" s="557" t="s">
        <v>4135</v>
      </c>
      <c r="C329" t="s">
        <v>4658</v>
      </c>
      <c r="D329" s="107" t="s">
        <v>1772</v>
      </c>
      <c r="E329" s="540">
        <v>185420</v>
      </c>
      <c r="F329" s="556">
        <v>354</v>
      </c>
      <c r="G329" s="541">
        <v>1.91</v>
      </c>
      <c r="H329" s="560">
        <v>0.03</v>
      </c>
      <c r="I329" s="107">
        <v>9</v>
      </c>
      <c r="K329" s="370">
        <v>1417</v>
      </c>
      <c r="L329" s="371" t="s">
        <v>1698</v>
      </c>
      <c r="M329" s="372" t="s">
        <v>2821</v>
      </c>
      <c r="N329" s="373" t="s">
        <v>1699</v>
      </c>
      <c r="O329" s="374" t="s">
        <v>1700</v>
      </c>
      <c r="P329" s="374" t="s">
        <v>2821</v>
      </c>
    </row>
    <row r="330" spans="1:16" ht="12.75">
      <c r="A330">
        <v>323</v>
      </c>
      <c r="B330" s="557">
        <v>2703</v>
      </c>
      <c r="C330" t="s">
        <v>4659</v>
      </c>
      <c r="D330" s="107" t="s">
        <v>2522</v>
      </c>
      <c r="E330" s="540">
        <v>2316</v>
      </c>
      <c r="F330" s="556">
        <v>352</v>
      </c>
      <c r="G330" s="541">
        <v>152.17</v>
      </c>
      <c r="H330" s="560">
        <v>0.03</v>
      </c>
      <c r="I330" s="107">
        <v>76</v>
      </c>
      <c r="K330" s="370">
        <v>1418</v>
      </c>
      <c r="L330" s="371" t="s">
        <v>1701</v>
      </c>
      <c r="M330" s="372" t="s">
        <v>2821</v>
      </c>
      <c r="N330" s="373" t="s">
        <v>1702</v>
      </c>
      <c r="O330" s="374" t="s">
        <v>1703</v>
      </c>
      <c r="P330" s="374" t="s">
        <v>2821</v>
      </c>
    </row>
    <row r="331" spans="1:16" ht="12.75">
      <c r="A331">
        <v>324</v>
      </c>
      <c r="B331" s="557">
        <v>6565</v>
      </c>
      <c r="C331" t="s">
        <v>4660</v>
      </c>
      <c r="D331" s="107" t="s">
        <v>2439</v>
      </c>
      <c r="E331" s="540">
        <v>81959</v>
      </c>
      <c r="F331" s="556">
        <v>347</v>
      </c>
      <c r="G331" s="541">
        <v>4.24</v>
      </c>
      <c r="H331" s="560">
        <v>0.03</v>
      </c>
      <c r="I331" s="107">
        <v>86</v>
      </c>
      <c r="K331" s="370">
        <v>1419</v>
      </c>
      <c r="L331" s="371" t="s">
        <v>1704</v>
      </c>
      <c r="M331" s="372" t="s">
        <v>2821</v>
      </c>
      <c r="N331" s="373" t="s">
        <v>1705</v>
      </c>
      <c r="O331" s="374" t="s">
        <v>1706</v>
      </c>
      <c r="P331" s="374" t="s">
        <v>2821</v>
      </c>
    </row>
    <row r="332" spans="1:16" ht="12.75">
      <c r="A332">
        <v>325</v>
      </c>
      <c r="B332" s="557">
        <v>2159</v>
      </c>
      <c r="C332" t="s">
        <v>4661</v>
      </c>
      <c r="D332" s="107" t="s">
        <v>2439</v>
      </c>
      <c r="E332" s="540">
        <v>465952</v>
      </c>
      <c r="F332" s="556">
        <v>342</v>
      </c>
      <c r="G332" s="541">
        <v>0.74</v>
      </c>
      <c r="H332" s="560">
        <v>0.03</v>
      </c>
      <c r="I332" s="107">
        <v>72</v>
      </c>
      <c r="K332" s="370">
        <v>1428</v>
      </c>
      <c r="L332" s="371" t="s">
        <v>1707</v>
      </c>
      <c r="M332" s="372" t="s">
        <v>2821</v>
      </c>
      <c r="N332" s="373" t="s">
        <v>1708</v>
      </c>
      <c r="O332" s="374" t="s">
        <v>1709</v>
      </c>
      <c r="P332" s="374" t="s">
        <v>2821</v>
      </c>
    </row>
    <row r="333" spans="1:16" ht="12.75">
      <c r="A333">
        <v>326</v>
      </c>
      <c r="B333" s="557">
        <v>203</v>
      </c>
      <c r="C333" t="s">
        <v>4662</v>
      </c>
      <c r="D333" s="107" t="s">
        <v>1771</v>
      </c>
      <c r="E333">
        <v>2949</v>
      </c>
      <c r="F333" s="556">
        <v>342</v>
      </c>
      <c r="G333" s="541">
        <v>116</v>
      </c>
      <c r="H333" s="560">
        <v>0.03</v>
      </c>
      <c r="I333" s="107">
        <v>2</v>
      </c>
      <c r="K333" s="370">
        <v>1432</v>
      </c>
      <c r="L333" s="371" t="s">
        <v>1710</v>
      </c>
      <c r="M333" s="372" t="s">
        <v>2821</v>
      </c>
      <c r="N333" s="373" t="s">
        <v>1711</v>
      </c>
      <c r="O333" s="374" t="s">
        <v>1712</v>
      </c>
      <c r="P333" s="374" t="s">
        <v>2821</v>
      </c>
    </row>
    <row r="334" spans="1:16" ht="12.75">
      <c r="A334">
        <v>327</v>
      </c>
      <c r="B334" s="557" t="s">
        <v>3482</v>
      </c>
      <c r="C334" t="s">
        <v>4663</v>
      </c>
      <c r="D334" s="107" t="s">
        <v>2439</v>
      </c>
      <c r="E334">
        <v>427474</v>
      </c>
      <c r="F334" s="556">
        <v>342</v>
      </c>
      <c r="G334" s="541">
        <v>0.8</v>
      </c>
      <c r="H334" s="560">
        <v>0.03</v>
      </c>
      <c r="I334" s="107">
        <v>37</v>
      </c>
      <c r="K334" s="370">
        <v>1433</v>
      </c>
      <c r="L334" s="371" t="s">
        <v>1078</v>
      </c>
      <c r="M334" s="372" t="s">
        <v>2821</v>
      </c>
      <c r="N334" s="373" t="s">
        <v>1079</v>
      </c>
      <c r="O334" s="374" t="s">
        <v>3544</v>
      </c>
      <c r="P334" s="374" t="s">
        <v>2821</v>
      </c>
    </row>
    <row r="335" spans="1:16" ht="12.75">
      <c r="A335">
        <v>328</v>
      </c>
      <c r="B335" s="557" t="s">
        <v>4138</v>
      </c>
      <c r="C335" t="s">
        <v>4664</v>
      </c>
      <c r="D335" s="107" t="s">
        <v>2439</v>
      </c>
      <c r="E335">
        <v>172</v>
      </c>
      <c r="F335" s="556">
        <v>339</v>
      </c>
      <c r="G335" s="541">
        <v>1973.26</v>
      </c>
      <c r="H335" s="560">
        <v>0.03</v>
      </c>
      <c r="I335" s="107">
        <v>2</v>
      </c>
      <c r="K335" s="370">
        <v>1434</v>
      </c>
      <c r="L335" s="371" t="s">
        <v>3545</v>
      </c>
      <c r="M335" s="372" t="s">
        <v>2821</v>
      </c>
      <c r="N335" s="373" t="s">
        <v>3546</v>
      </c>
      <c r="O335" s="374" t="s">
        <v>3547</v>
      </c>
      <c r="P335" s="374" t="s">
        <v>2821</v>
      </c>
    </row>
    <row r="336" spans="1:14" ht="12.75">
      <c r="A336">
        <v>329</v>
      </c>
      <c r="B336" s="557">
        <v>6531</v>
      </c>
      <c r="C336" t="s">
        <v>4665</v>
      </c>
      <c r="D336" s="107" t="s">
        <v>2439</v>
      </c>
      <c r="E336">
        <v>499331</v>
      </c>
      <c r="F336" s="556">
        <v>336</v>
      </c>
      <c r="G336" s="541">
        <v>0.67</v>
      </c>
      <c r="H336" s="560">
        <v>0.03</v>
      </c>
      <c r="I336" s="107">
        <v>9</v>
      </c>
      <c r="K336" s="370">
        <v>1440</v>
      </c>
      <c r="L336" s="371" t="s">
        <v>3548</v>
      </c>
      <c r="M336" s="372" t="s">
        <v>2821</v>
      </c>
      <c r="N336" s="373"/>
    </row>
    <row r="337" spans="1:14" ht="12.75">
      <c r="A337">
        <v>330</v>
      </c>
      <c r="B337" s="557">
        <v>4933</v>
      </c>
      <c r="C337" t="s">
        <v>4666</v>
      </c>
      <c r="D337" s="107" t="s">
        <v>2522</v>
      </c>
      <c r="E337">
        <v>46</v>
      </c>
      <c r="F337" s="556">
        <v>334</v>
      </c>
      <c r="G337" s="541">
        <v>7257.36</v>
      </c>
      <c r="H337" s="560">
        <v>0.03</v>
      </c>
      <c r="I337" s="107">
        <v>15</v>
      </c>
      <c r="K337" s="370">
        <v>1441</v>
      </c>
      <c r="L337" s="371" t="s">
        <v>3549</v>
      </c>
      <c r="M337" s="372" t="s">
        <v>2821</v>
      </c>
      <c r="N337" s="373"/>
    </row>
    <row r="338" spans="1:16" ht="12.75">
      <c r="A338">
        <v>331</v>
      </c>
      <c r="B338" s="557">
        <v>2625</v>
      </c>
      <c r="C338" t="s">
        <v>4667</v>
      </c>
      <c r="D338" s="107" t="s">
        <v>2522</v>
      </c>
      <c r="E338">
        <v>574</v>
      </c>
      <c r="F338" s="556">
        <v>333</v>
      </c>
      <c r="G338" s="541">
        <v>580.56</v>
      </c>
      <c r="H338" s="560">
        <v>0.03</v>
      </c>
      <c r="I338" s="107">
        <v>36</v>
      </c>
      <c r="K338" s="370">
        <v>1450</v>
      </c>
      <c r="L338" s="371" t="s">
        <v>3550</v>
      </c>
      <c r="M338" s="372" t="s">
        <v>2821</v>
      </c>
      <c r="N338" s="373" t="s">
        <v>3551</v>
      </c>
      <c r="O338" s="374" t="s">
        <v>3552</v>
      </c>
      <c r="P338" s="374" t="s">
        <v>2821</v>
      </c>
    </row>
    <row r="339" spans="1:16" ht="12.75">
      <c r="A339">
        <v>332</v>
      </c>
      <c r="B339" s="557" t="s">
        <v>4261</v>
      </c>
      <c r="C339" t="s">
        <v>4262</v>
      </c>
      <c r="D339" s="107" t="s">
        <v>2522</v>
      </c>
      <c r="E339">
        <v>95</v>
      </c>
      <c r="F339" s="556">
        <v>333</v>
      </c>
      <c r="G339" s="541">
        <v>3501.58</v>
      </c>
      <c r="H339" s="560">
        <v>0.03</v>
      </c>
      <c r="I339" s="107">
        <v>13</v>
      </c>
      <c r="K339" s="370">
        <v>1451</v>
      </c>
      <c r="L339" s="371" t="s">
        <v>3553</v>
      </c>
      <c r="M339" s="372" t="s">
        <v>2821</v>
      </c>
      <c r="N339" s="373" t="s">
        <v>3554</v>
      </c>
      <c r="O339" s="374" t="s">
        <v>3555</v>
      </c>
      <c r="P339" s="374" t="s">
        <v>2821</v>
      </c>
    </row>
    <row r="340" spans="1:16" ht="12.75">
      <c r="A340">
        <v>333</v>
      </c>
      <c r="B340" s="557">
        <v>2365</v>
      </c>
      <c r="C340" t="s">
        <v>4668</v>
      </c>
      <c r="D340" s="107" t="s">
        <v>2522</v>
      </c>
      <c r="E340">
        <v>34</v>
      </c>
      <c r="F340" s="556">
        <v>330</v>
      </c>
      <c r="G340" s="541">
        <v>9715.06</v>
      </c>
      <c r="H340" s="560">
        <v>0.03</v>
      </c>
      <c r="I340" s="107">
        <v>7</v>
      </c>
      <c r="K340" s="370">
        <v>1452</v>
      </c>
      <c r="L340" s="371" t="s">
        <v>3556</v>
      </c>
      <c r="M340" s="372" t="s">
        <v>2821</v>
      </c>
      <c r="N340" s="373" t="s">
        <v>3557</v>
      </c>
      <c r="O340" s="374" t="s">
        <v>3558</v>
      </c>
      <c r="P340" s="374" t="s">
        <v>2821</v>
      </c>
    </row>
    <row r="341" spans="1:16" ht="12.75">
      <c r="A341">
        <v>334</v>
      </c>
      <c r="B341" s="557" t="s">
        <v>4242</v>
      </c>
      <c r="C341" t="s">
        <v>4669</v>
      </c>
      <c r="D341" s="107" t="s">
        <v>4236</v>
      </c>
      <c r="E341">
        <v>870</v>
      </c>
      <c r="F341" s="556">
        <v>330</v>
      </c>
      <c r="G341" s="541">
        <v>378.79</v>
      </c>
      <c r="H341" s="560">
        <v>0.03</v>
      </c>
      <c r="I341" s="107">
        <v>19</v>
      </c>
      <c r="K341" s="370">
        <v>1453</v>
      </c>
      <c r="L341" s="371" t="s">
        <v>3559</v>
      </c>
      <c r="M341" s="372" t="s">
        <v>2821</v>
      </c>
      <c r="N341" s="373" t="s">
        <v>3560</v>
      </c>
      <c r="O341" s="374" t="s">
        <v>3561</v>
      </c>
      <c r="P341" s="374" t="s">
        <v>2821</v>
      </c>
    </row>
    <row r="342" spans="1:14" ht="12.75">
      <c r="A342">
        <v>335</v>
      </c>
      <c r="B342" s="557">
        <v>2705</v>
      </c>
      <c r="C342" t="s">
        <v>4670</v>
      </c>
      <c r="D342" s="107" t="s">
        <v>2522</v>
      </c>
      <c r="E342">
        <v>2370</v>
      </c>
      <c r="F342" s="556">
        <v>329</v>
      </c>
      <c r="G342" s="541">
        <v>138.65</v>
      </c>
      <c r="H342" s="560">
        <v>0.03</v>
      </c>
      <c r="I342" s="107">
        <v>84</v>
      </c>
      <c r="K342" s="370">
        <v>1455</v>
      </c>
      <c r="L342" s="371" t="s">
        <v>3562</v>
      </c>
      <c r="M342" s="372" t="s">
        <v>2821</v>
      </c>
      <c r="N342" s="373"/>
    </row>
    <row r="343" spans="1:14" ht="12.75">
      <c r="A343">
        <v>336</v>
      </c>
      <c r="B343" s="557" t="s">
        <v>3211</v>
      </c>
      <c r="C343" t="s">
        <v>4671</v>
      </c>
      <c r="D343" s="107" t="s">
        <v>2439</v>
      </c>
      <c r="E343">
        <v>134954</v>
      </c>
      <c r="F343" s="556">
        <v>328</v>
      </c>
      <c r="G343" s="541">
        <v>2.43</v>
      </c>
      <c r="H343" s="560">
        <v>0.03</v>
      </c>
      <c r="I343" s="107">
        <v>29</v>
      </c>
      <c r="K343" s="370">
        <v>1456</v>
      </c>
      <c r="L343" s="371" t="s">
        <v>3563</v>
      </c>
      <c r="M343" s="372" t="s">
        <v>2821</v>
      </c>
      <c r="N343" s="373"/>
    </row>
    <row r="344" spans="1:14" ht="12.75">
      <c r="A344">
        <v>337</v>
      </c>
      <c r="B344" s="557">
        <v>5997</v>
      </c>
      <c r="C344" t="s">
        <v>4672</v>
      </c>
      <c r="D344" s="107" t="s">
        <v>1773</v>
      </c>
      <c r="E344">
        <v>7070</v>
      </c>
      <c r="F344" s="556">
        <v>327</v>
      </c>
      <c r="G344" s="541">
        <v>46.23</v>
      </c>
      <c r="H344" s="560">
        <v>0.03</v>
      </c>
      <c r="I344" s="107">
        <v>5</v>
      </c>
      <c r="K344" s="370">
        <v>1457</v>
      </c>
      <c r="L344" s="371" t="s">
        <v>3564</v>
      </c>
      <c r="M344" s="372" t="s">
        <v>2821</v>
      </c>
      <c r="N344" s="373"/>
    </row>
    <row r="345" spans="1:14" ht="12.75">
      <c r="A345">
        <v>338</v>
      </c>
      <c r="B345" s="557" t="s">
        <v>4172</v>
      </c>
      <c r="C345" t="s">
        <v>4673</v>
      </c>
      <c r="D345" s="107" t="s">
        <v>2439</v>
      </c>
      <c r="E345">
        <v>380645</v>
      </c>
      <c r="F345" s="556">
        <v>326</v>
      </c>
      <c r="G345" s="541">
        <v>0.86</v>
      </c>
      <c r="H345" s="560">
        <v>0.03</v>
      </c>
      <c r="I345" s="107">
        <v>3</v>
      </c>
      <c r="K345" s="370">
        <v>1458</v>
      </c>
      <c r="L345" s="371" t="s">
        <v>3565</v>
      </c>
      <c r="M345" s="372" t="s">
        <v>2821</v>
      </c>
      <c r="N345" s="373"/>
    </row>
    <row r="346" spans="1:14" ht="12.75">
      <c r="A346">
        <v>339</v>
      </c>
      <c r="B346" s="557">
        <v>1310</v>
      </c>
      <c r="C346" t="s">
        <v>4674</v>
      </c>
      <c r="D346" s="107" t="s">
        <v>2439</v>
      </c>
      <c r="E346">
        <v>12303</v>
      </c>
      <c r="F346" s="556">
        <v>326</v>
      </c>
      <c r="G346" s="541">
        <v>26.46</v>
      </c>
      <c r="H346" s="560">
        <v>0.03</v>
      </c>
      <c r="I346" s="107">
        <v>55</v>
      </c>
      <c r="K346" s="370">
        <v>1459</v>
      </c>
      <c r="L346" s="371" t="s">
        <v>3566</v>
      </c>
      <c r="M346" s="372" t="s">
        <v>2821</v>
      </c>
      <c r="N346" s="373"/>
    </row>
    <row r="347" spans="1:14" ht="12.75">
      <c r="A347">
        <v>340</v>
      </c>
      <c r="B347" s="557">
        <v>6546</v>
      </c>
      <c r="C347" t="s">
        <v>4675</v>
      </c>
      <c r="D347" s="107" t="s">
        <v>2439</v>
      </c>
      <c r="E347">
        <v>108478</v>
      </c>
      <c r="F347" s="556">
        <v>325</v>
      </c>
      <c r="G347" s="541">
        <v>3</v>
      </c>
      <c r="H347" s="560">
        <v>0.03</v>
      </c>
      <c r="I347" s="107">
        <v>50</v>
      </c>
      <c r="K347" s="370">
        <v>1462</v>
      </c>
      <c r="L347" s="371" t="s">
        <v>3567</v>
      </c>
      <c r="M347" s="372" t="s">
        <v>2821</v>
      </c>
      <c r="N347" s="373"/>
    </row>
    <row r="348" spans="1:14" ht="12.75">
      <c r="A348">
        <v>341</v>
      </c>
      <c r="B348" s="557" t="s">
        <v>4160</v>
      </c>
      <c r="C348" t="s">
        <v>4676</v>
      </c>
      <c r="D348" s="107" t="s">
        <v>2439</v>
      </c>
      <c r="E348">
        <v>1674</v>
      </c>
      <c r="F348" s="556">
        <v>321</v>
      </c>
      <c r="G348" s="541">
        <v>191.54</v>
      </c>
      <c r="H348" s="560">
        <v>0.03</v>
      </c>
      <c r="I348" s="107">
        <v>11</v>
      </c>
      <c r="K348" s="370">
        <v>1480</v>
      </c>
      <c r="L348" s="371" t="s">
        <v>3568</v>
      </c>
      <c r="M348" s="372" t="s">
        <v>2821</v>
      </c>
      <c r="N348" s="373"/>
    </row>
    <row r="349" spans="1:14" ht="12.75">
      <c r="A349">
        <v>342</v>
      </c>
      <c r="B349" s="557" t="s">
        <v>3477</v>
      </c>
      <c r="C349" t="s">
        <v>4677</v>
      </c>
      <c r="D349" s="107" t="s">
        <v>2522</v>
      </c>
      <c r="E349">
        <v>173</v>
      </c>
      <c r="F349" s="556">
        <v>321</v>
      </c>
      <c r="G349" s="541">
        <v>1852.9</v>
      </c>
      <c r="H349" s="560">
        <v>0.03</v>
      </c>
      <c r="I349" s="107">
        <v>36</v>
      </c>
      <c r="K349" s="370">
        <v>1482</v>
      </c>
      <c r="L349" s="371" t="s">
        <v>3569</v>
      </c>
      <c r="M349" s="372" t="s">
        <v>2821</v>
      </c>
      <c r="N349" s="373"/>
    </row>
    <row r="350" spans="1:14" ht="12.75">
      <c r="A350">
        <v>343</v>
      </c>
      <c r="B350" s="557">
        <v>8020</v>
      </c>
      <c r="C350" t="s">
        <v>4678</v>
      </c>
      <c r="D350" s="107" t="s">
        <v>1771</v>
      </c>
      <c r="E350">
        <v>6666</v>
      </c>
      <c r="F350" s="556">
        <v>320</v>
      </c>
      <c r="G350" s="541">
        <v>48.01</v>
      </c>
      <c r="H350" s="560">
        <v>0.03</v>
      </c>
      <c r="I350" s="107">
        <v>4</v>
      </c>
      <c r="K350" s="370">
        <v>1483</v>
      </c>
      <c r="L350" s="371" t="s">
        <v>3570</v>
      </c>
      <c r="M350" s="372" t="s">
        <v>2821</v>
      </c>
      <c r="N350" s="373"/>
    </row>
    <row r="351" spans="1:14" ht="12.75">
      <c r="A351">
        <v>344</v>
      </c>
      <c r="B351" s="557">
        <v>2399</v>
      </c>
      <c r="C351" t="s">
        <v>4679</v>
      </c>
      <c r="D351" s="107" t="s">
        <v>2522</v>
      </c>
      <c r="E351">
        <v>3444</v>
      </c>
      <c r="F351" s="556">
        <v>320</v>
      </c>
      <c r="G351" s="541">
        <v>92.89</v>
      </c>
      <c r="H351" s="560">
        <v>0.03</v>
      </c>
      <c r="I351" s="107">
        <v>32</v>
      </c>
      <c r="K351" s="370">
        <v>1484</v>
      </c>
      <c r="L351" s="371" t="s">
        <v>3571</v>
      </c>
      <c r="M351" s="372" t="s">
        <v>2821</v>
      </c>
      <c r="N351" s="373"/>
    </row>
    <row r="352" spans="1:14" ht="12.75">
      <c r="A352">
        <v>345</v>
      </c>
      <c r="B352" s="557">
        <v>8663</v>
      </c>
      <c r="C352" t="s">
        <v>4680</v>
      </c>
      <c r="D352" s="107" t="s">
        <v>2439</v>
      </c>
      <c r="E352">
        <v>913</v>
      </c>
      <c r="F352" s="556">
        <v>316</v>
      </c>
      <c r="G352" s="541">
        <v>346.53</v>
      </c>
      <c r="H352" s="560">
        <v>0.03</v>
      </c>
      <c r="I352" s="107">
        <v>3</v>
      </c>
      <c r="K352" s="370">
        <v>1487</v>
      </c>
      <c r="L352" s="371" t="s">
        <v>3572</v>
      </c>
      <c r="M352" s="372" t="s">
        <v>2821</v>
      </c>
      <c r="N352" s="373"/>
    </row>
    <row r="353" spans="1:14" ht="12.75">
      <c r="A353">
        <v>346</v>
      </c>
      <c r="B353" s="557" t="s">
        <v>4139</v>
      </c>
      <c r="C353" t="s">
        <v>4681</v>
      </c>
      <c r="D353" s="107" t="s">
        <v>2441</v>
      </c>
      <c r="E353">
        <v>6</v>
      </c>
      <c r="F353" s="556">
        <v>315</v>
      </c>
      <c r="G353" s="541">
        <v>52537.23</v>
      </c>
      <c r="H353" s="560">
        <v>0.03</v>
      </c>
      <c r="I353" s="107">
        <v>6</v>
      </c>
      <c r="K353" s="370">
        <v>1490</v>
      </c>
      <c r="L353" s="371" t="s">
        <v>3573</v>
      </c>
      <c r="M353" s="372" t="s">
        <v>2821</v>
      </c>
      <c r="N353" s="373"/>
    </row>
    <row r="354" spans="1:14" ht="12.75">
      <c r="A354">
        <v>347</v>
      </c>
      <c r="B354" s="557" t="s">
        <v>4244</v>
      </c>
      <c r="C354" t="s">
        <v>4682</v>
      </c>
      <c r="D354" s="107" t="s">
        <v>2439</v>
      </c>
      <c r="E354">
        <v>716</v>
      </c>
      <c r="F354" s="556">
        <v>314</v>
      </c>
      <c r="G354" s="541">
        <v>439.04</v>
      </c>
      <c r="H354" s="560">
        <v>0.03</v>
      </c>
      <c r="I354" s="107">
        <v>4</v>
      </c>
      <c r="K354" s="370">
        <v>1493</v>
      </c>
      <c r="L354" s="371" t="s">
        <v>3574</v>
      </c>
      <c r="M354" s="372" t="s">
        <v>2821</v>
      </c>
      <c r="N354" s="373"/>
    </row>
    <row r="355" spans="1:14" ht="12.75">
      <c r="A355">
        <v>348</v>
      </c>
      <c r="B355" s="557" t="s">
        <v>4209</v>
      </c>
      <c r="C355" t="s">
        <v>4683</v>
      </c>
      <c r="D355" s="107" t="s">
        <v>2522</v>
      </c>
      <c r="E355">
        <v>38</v>
      </c>
      <c r="F355" s="556">
        <v>313</v>
      </c>
      <c r="G355" s="541">
        <v>8246.19</v>
      </c>
      <c r="H355" s="560">
        <v>0.03</v>
      </c>
      <c r="I355" s="107">
        <v>3</v>
      </c>
      <c r="K355" s="370">
        <v>1494</v>
      </c>
      <c r="L355" s="371" t="s">
        <v>3575</v>
      </c>
      <c r="M355" s="372" t="s">
        <v>2821</v>
      </c>
      <c r="N355" s="373"/>
    </row>
    <row r="356" spans="1:14" ht="12.75">
      <c r="A356">
        <v>349</v>
      </c>
      <c r="B356" s="557" t="s">
        <v>4231</v>
      </c>
      <c r="C356" t="s">
        <v>4684</v>
      </c>
      <c r="D356" s="107" t="s">
        <v>2439</v>
      </c>
      <c r="E356">
        <v>39403</v>
      </c>
      <c r="F356" s="556">
        <v>312</v>
      </c>
      <c r="G356" s="541">
        <v>7.93</v>
      </c>
      <c r="H356" s="560">
        <v>0.03</v>
      </c>
      <c r="I356" s="107">
        <v>3</v>
      </c>
      <c r="K356" s="370">
        <v>1496</v>
      </c>
      <c r="L356" s="371" t="s">
        <v>3576</v>
      </c>
      <c r="M356" s="372" t="s">
        <v>2821</v>
      </c>
      <c r="N356" s="373"/>
    </row>
    <row r="357" spans="1:14" ht="12.75">
      <c r="A357">
        <v>350</v>
      </c>
      <c r="B357" s="557" t="s">
        <v>4003</v>
      </c>
      <c r="C357" t="s">
        <v>4685</v>
      </c>
      <c r="D357" s="107" t="s">
        <v>2439</v>
      </c>
      <c r="E357">
        <v>10705</v>
      </c>
      <c r="F357" s="556">
        <v>309</v>
      </c>
      <c r="G357" s="541">
        <v>28.88</v>
      </c>
      <c r="H357" s="560">
        <v>0.03</v>
      </c>
      <c r="I357" s="107">
        <v>24</v>
      </c>
      <c r="K357" s="370">
        <v>1497</v>
      </c>
      <c r="L357" s="371" t="s">
        <v>3577</v>
      </c>
      <c r="M357" s="372" t="s">
        <v>2821</v>
      </c>
      <c r="N357" s="373"/>
    </row>
    <row r="358" spans="1:14" ht="12.75">
      <c r="A358">
        <v>351</v>
      </c>
      <c r="B358" s="557">
        <v>1877</v>
      </c>
      <c r="C358" t="s">
        <v>4686</v>
      </c>
      <c r="D358" s="107" t="s">
        <v>2439</v>
      </c>
      <c r="E358">
        <v>22985</v>
      </c>
      <c r="F358" s="556">
        <v>308</v>
      </c>
      <c r="G358" s="541">
        <v>13.42</v>
      </c>
      <c r="H358" s="560">
        <v>0.03</v>
      </c>
      <c r="I358" s="107">
        <v>2</v>
      </c>
      <c r="K358" s="370">
        <v>1498</v>
      </c>
      <c r="L358" s="371" t="s">
        <v>3578</v>
      </c>
      <c r="M358" s="372" t="s">
        <v>2821</v>
      </c>
      <c r="N358" s="373"/>
    </row>
    <row r="359" spans="1:14" ht="12.75">
      <c r="A359">
        <v>352</v>
      </c>
      <c r="B359" s="557">
        <v>6400</v>
      </c>
      <c r="C359" t="s">
        <v>4687</v>
      </c>
      <c r="D359" s="107" t="s">
        <v>2443</v>
      </c>
      <c r="E359">
        <v>39171</v>
      </c>
      <c r="F359" s="556">
        <v>308</v>
      </c>
      <c r="G359" s="541">
        <v>7.85</v>
      </c>
      <c r="H359" s="560">
        <v>0.03</v>
      </c>
      <c r="I359" s="107">
        <v>5</v>
      </c>
      <c r="K359" s="370">
        <v>1499</v>
      </c>
      <c r="L359" s="371" t="s">
        <v>3579</v>
      </c>
      <c r="M359" s="372" t="s">
        <v>2821</v>
      </c>
      <c r="N359" s="373"/>
    </row>
    <row r="360" spans="1:14" ht="12.75">
      <c r="A360">
        <v>353</v>
      </c>
      <c r="B360" s="557" t="s">
        <v>4688</v>
      </c>
      <c r="C360" t="s">
        <v>4689</v>
      </c>
      <c r="D360" s="107" t="s">
        <v>1772</v>
      </c>
      <c r="E360">
        <v>161686</v>
      </c>
      <c r="F360" s="556">
        <v>307</v>
      </c>
      <c r="G360" s="541">
        <v>1.9</v>
      </c>
      <c r="H360" s="560">
        <v>0.03</v>
      </c>
      <c r="I360" s="107">
        <v>2</v>
      </c>
      <c r="K360" s="370">
        <v>1500</v>
      </c>
      <c r="L360" s="371" t="s">
        <v>3580</v>
      </c>
      <c r="M360" s="372" t="s">
        <v>2821</v>
      </c>
      <c r="N360" s="373"/>
    </row>
    <row r="361" spans="1:14" ht="12.75">
      <c r="A361">
        <v>354</v>
      </c>
      <c r="B361" s="557">
        <v>71</v>
      </c>
      <c r="C361" t="s">
        <v>4690</v>
      </c>
      <c r="D361" s="107" t="s">
        <v>1771</v>
      </c>
      <c r="E361" s="540">
        <v>7256</v>
      </c>
      <c r="F361" s="556">
        <v>305</v>
      </c>
      <c r="G361" s="541">
        <v>42.06</v>
      </c>
      <c r="H361" s="560">
        <v>0.03</v>
      </c>
      <c r="I361" s="107">
        <v>11</v>
      </c>
      <c r="K361" s="370">
        <v>1502</v>
      </c>
      <c r="L361" s="371" t="s">
        <v>3581</v>
      </c>
      <c r="M361" s="372" t="s">
        <v>2821</v>
      </c>
      <c r="N361" s="373"/>
    </row>
    <row r="362" spans="1:14" ht="12.75">
      <c r="A362">
        <v>355</v>
      </c>
      <c r="B362" s="557">
        <v>15018</v>
      </c>
      <c r="C362" t="s">
        <v>4273</v>
      </c>
      <c r="D362" s="107" t="s">
        <v>2439</v>
      </c>
      <c r="E362" s="540">
        <v>381</v>
      </c>
      <c r="F362" s="556">
        <v>304</v>
      </c>
      <c r="G362" s="541">
        <v>797.5</v>
      </c>
      <c r="H362" s="560">
        <v>0.03</v>
      </c>
      <c r="I362" s="107">
        <v>1</v>
      </c>
      <c r="K362" s="370">
        <v>1503</v>
      </c>
      <c r="L362" s="371" t="s">
        <v>3582</v>
      </c>
      <c r="M362" s="372" t="s">
        <v>2821</v>
      </c>
      <c r="N362" s="373"/>
    </row>
    <row r="363" spans="1:14" ht="12.75">
      <c r="A363">
        <v>356</v>
      </c>
      <c r="B363" s="557">
        <v>6550</v>
      </c>
      <c r="C363" t="s">
        <v>4691</v>
      </c>
      <c r="D363" s="107" t="s">
        <v>2439</v>
      </c>
      <c r="E363" s="540">
        <v>175788</v>
      </c>
      <c r="F363" s="556">
        <v>300</v>
      </c>
      <c r="G363" s="541">
        <v>1.71</v>
      </c>
      <c r="H363" s="560">
        <v>0.03</v>
      </c>
      <c r="I363" s="107">
        <v>35</v>
      </c>
      <c r="K363" s="370">
        <v>1505</v>
      </c>
      <c r="L363" s="371" t="s">
        <v>3583</v>
      </c>
      <c r="M363" s="372" t="s">
        <v>2821</v>
      </c>
      <c r="N363" s="373"/>
    </row>
    <row r="364" spans="1:14" ht="12.75">
      <c r="A364">
        <v>357</v>
      </c>
      <c r="B364" s="557">
        <v>6441</v>
      </c>
      <c r="C364" t="s">
        <v>4692</v>
      </c>
      <c r="D364" s="107" t="s">
        <v>2443</v>
      </c>
      <c r="E364" s="540">
        <v>31980</v>
      </c>
      <c r="F364" s="556">
        <v>299</v>
      </c>
      <c r="G364" s="541">
        <v>9.36</v>
      </c>
      <c r="H364" s="560">
        <v>0.03</v>
      </c>
      <c r="I364" s="107">
        <v>5</v>
      </c>
      <c r="K364" s="370">
        <v>1506</v>
      </c>
      <c r="L364" s="371" t="s">
        <v>3584</v>
      </c>
      <c r="M364" s="372" t="s">
        <v>2821</v>
      </c>
      <c r="N364" s="373"/>
    </row>
    <row r="365" spans="1:14" ht="12.75">
      <c r="A365">
        <v>358</v>
      </c>
      <c r="B365" s="557">
        <v>2998</v>
      </c>
      <c r="C365" t="s">
        <v>2678</v>
      </c>
      <c r="D365" s="107" t="s">
        <v>1772</v>
      </c>
      <c r="E365" s="540">
        <v>27507</v>
      </c>
      <c r="F365" s="556">
        <v>299</v>
      </c>
      <c r="G365" s="541">
        <v>10.87</v>
      </c>
      <c r="H365" s="560">
        <v>0.03</v>
      </c>
      <c r="I365" s="107">
        <v>8</v>
      </c>
      <c r="K365" s="370">
        <v>1508</v>
      </c>
      <c r="L365" s="371" t="s">
        <v>3585</v>
      </c>
      <c r="M365" s="372" t="s">
        <v>2821</v>
      </c>
      <c r="N365" s="373"/>
    </row>
    <row r="366" spans="1:14" ht="12.75">
      <c r="A366">
        <v>359</v>
      </c>
      <c r="B366" s="557" t="s">
        <v>4094</v>
      </c>
      <c r="C366" t="s">
        <v>4693</v>
      </c>
      <c r="D366" s="107" t="s">
        <v>1771</v>
      </c>
      <c r="E366" s="540">
        <v>2608</v>
      </c>
      <c r="F366" s="556">
        <v>298</v>
      </c>
      <c r="G366" s="541">
        <v>114.38</v>
      </c>
      <c r="H366" s="560">
        <v>0.03</v>
      </c>
      <c r="I366" s="107">
        <v>3</v>
      </c>
      <c r="K366" s="370">
        <v>1511</v>
      </c>
      <c r="L366" s="371" t="s">
        <v>3586</v>
      </c>
      <c r="M366" s="372" t="s">
        <v>2821</v>
      </c>
      <c r="N366" s="373"/>
    </row>
    <row r="367" spans="1:14" ht="12.75">
      <c r="A367">
        <v>360</v>
      </c>
      <c r="B367" s="557">
        <v>6453</v>
      </c>
      <c r="C367" t="s">
        <v>4694</v>
      </c>
      <c r="D367" s="107" t="s">
        <v>2522</v>
      </c>
      <c r="E367" s="540">
        <v>2</v>
      </c>
      <c r="F367" s="556">
        <v>295</v>
      </c>
      <c r="G367" s="541">
        <v>147684</v>
      </c>
      <c r="H367" s="560">
        <v>0.02</v>
      </c>
      <c r="I367" s="107">
        <v>1</v>
      </c>
      <c r="K367" s="370">
        <v>1514</v>
      </c>
      <c r="L367" s="371" t="s">
        <v>3587</v>
      </c>
      <c r="M367" s="372" t="s">
        <v>2821</v>
      </c>
      <c r="N367" s="373"/>
    </row>
    <row r="368" spans="1:14" ht="12.75">
      <c r="A368">
        <v>361</v>
      </c>
      <c r="B368" s="557">
        <v>6600</v>
      </c>
      <c r="C368" t="s">
        <v>4695</v>
      </c>
      <c r="D368" s="107" t="s">
        <v>2522</v>
      </c>
      <c r="E368" s="540">
        <v>26260</v>
      </c>
      <c r="F368" s="556">
        <v>295</v>
      </c>
      <c r="G368" s="541">
        <v>11.23</v>
      </c>
      <c r="H368" s="560">
        <v>0.02</v>
      </c>
      <c r="I368" s="107">
        <v>79</v>
      </c>
      <c r="K368" s="370">
        <v>1517</v>
      </c>
      <c r="L368" s="371" t="s">
        <v>3588</v>
      </c>
      <c r="M368" s="372" t="s">
        <v>2821</v>
      </c>
      <c r="N368" s="373"/>
    </row>
    <row r="369" spans="1:14" ht="12.75">
      <c r="A369">
        <v>362</v>
      </c>
      <c r="B369" s="557" t="s">
        <v>4202</v>
      </c>
      <c r="C369" t="s">
        <v>4696</v>
      </c>
      <c r="D369" s="107" t="s">
        <v>2522</v>
      </c>
      <c r="E369" s="540">
        <v>89</v>
      </c>
      <c r="F369" s="556">
        <v>294</v>
      </c>
      <c r="G369" s="541">
        <v>3300.56</v>
      </c>
      <c r="H369" s="560">
        <v>0.02</v>
      </c>
      <c r="I369" s="107">
        <v>13</v>
      </c>
      <c r="K369" s="370">
        <v>1518</v>
      </c>
      <c r="L369" s="371" t="s">
        <v>3589</v>
      </c>
      <c r="M369" s="372" t="s">
        <v>2821</v>
      </c>
      <c r="N369" s="373"/>
    </row>
    <row r="370" spans="1:14" ht="12.75">
      <c r="A370">
        <v>363</v>
      </c>
      <c r="B370" s="557">
        <v>14007</v>
      </c>
      <c r="C370" t="s">
        <v>4023</v>
      </c>
      <c r="D370" s="107" t="s">
        <v>2439</v>
      </c>
      <c r="E370" s="540">
        <v>1167</v>
      </c>
      <c r="F370" s="556">
        <v>293</v>
      </c>
      <c r="G370" s="541">
        <v>250.77</v>
      </c>
      <c r="H370" s="560">
        <v>0.02</v>
      </c>
      <c r="I370" s="107">
        <v>5</v>
      </c>
      <c r="K370" s="370">
        <v>1521</v>
      </c>
      <c r="L370" s="371" t="s">
        <v>3590</v>
      </c>
      <c r="M370" s="372" t="s">
        <v>2821</v>
      </c>
      <c r="N370" s="373"/>
    </row>
    <row r="371" spans="1:14" ht="12.75">
      <c r="A371">
        <v>364</v>
      </c>
      <c r="B371" s="557">
        <v>6611</v>
      </c>
      <c r="C371" t="s">
        <v>4697</v>
      </c>
      <c r="D371" s="107" t="s">
        <v>2522</v>
      </c>
      <c r="E371" s="540">
        <v>8948</v>
      </c>
      <c r="F371" s="556">
        <v>293</v>
      </c>
      <c r="G371" s="541">
        <v>32.7</v>
      </c>
      <c r="H371" s="560">
        <v>0.02</v>
      </c>
      <c r="I371" s="107">
        <v>8</v>
      </c>
      <c r="K371" s="370">
        <v>1523</v>
      </c>
      <c r="L371" s="371" t="s">
        <v>3591</v>
      </c>
      <c r="M371" s="372" t="s">
        <v>2821</v>
      </c>
      <c r="N371" s="373"/>
    </row>
    <row r="372" spans="1:14" ht="12.75">
      <c r="A372">
        <v>365</v>
      </c>
      <c r="B372" s="557">
        <v>15000</v>
      </c>
      <c r="C372" t="s">
        <v>4698</v>
      </c>
      <c r="D372" s="107" t="s">
        <v>2522</v>
      </c>
      <c r="E372" s="540">
        <v>20</v>
      </c>
      <c r="F372" s="556">
        <v>288</v>
      </c>
      <c r="G372" s="541">
        <v>14408.38</v>
      </c>
      <c r="H372" s="560">
        <v>0.02</v>
      </c>
      <c r="I372" s="107">
        <v>6</v>
      </c>
      <c r="K372" s="370">
        <v>1526</v>
      </c>
      <c r="L372" s="371" t="s">
        <v>3592</v>
      </c>
      <c r="M372" s="372" t="s">
        <v>2821</v>
      </c>
      <c r="N372" s="373"/>
    </row>
    <row r="373" spans="1:14" ht="12.75">
      <c r="A373">
        <v>366</v>
      </c>
      <c r="B373" s="557" t="s">
        <v>4006</v>
      </c>
      <c r="C373" t="s">
        <v>4699</v>
      </c>
      <c r="D373" s="107" t="s">
        <v>2439</v>
      </c>
      <c r="E373" s="540">
        <v>106790</v>
      </c>
      <c r="F373" s="556">
        <v>286</v>
      </c>
      <c r="G373" s="541">
        <v>2.68</v>
      </c>
      <c r="H373" s="560">
        <v>0.02</v>
      </c>
      <c r="I373" s="107">
        <v>34</v>
      </c>
      <c r="K373" s="370">
        <v>1529</v>
      </c>
      <c r="L373" s="371" t="s">
        <v>3593</v>
      </c>
      <c r="M373" s="372" t="s">
        <v>2821</v>
      </c>
      <c r="N373" s="373"/>
    </row>
    <row r="374" spans="1:14" ht="12.75">
      <c r="A374">
        <v>367</v>
      </c>
      <c r="B374" s="557">
        <v>6407</v>
      </c>
      <c r="C374" t="s">
        <v>4700</v>
      </c>
      <c r="D374" s="107" t="s">
        <v>3416</v>
      </c>
      <c r="E374" s="540">
        <v>8734</v>
      </c>
      <c r="F374" s="556">
        <v>286</v>
      </c>
      <c r="G374" s="541">
        <v>32.71</v>
      </c>
      <c r="H374" s="560">
        <v>0.02</v>
      </c>
      <c r="I374" s="107">
        <v>38</v>
      </c>
      <c r="K374" s="370">
        <v>1531</v>
      </c>
      <c r="L374" s="371" t="s">
        <v>3594</v>
      </c>
      <c r="M374" s="372" t="s">
        <v>2821</v>
      </c>
      <c r="N374" s="373"/>
    </row>
    <row r="375" spans="1:14" ht="12.75">
      <c r="A375">
        <v>368</v>
      </c>
      <c r="B375" s="557">
        <v>1015</v>
      </c>
      <c r="C375" t="s">
        <v>2521</v>
      </c>
      <c r="D375" s="107" t="s">
        <v>2441</v>
      </c>
      <c r="E375" s="540">
        <v>21</v>
      </c>
      <c r="F375" s="556">
        <v>284</v>
      </c>
      <c r="G375" s="541">
        <v>13510.53</v>
      </c>
      <c r="H375" s="560">
        <v>0.02</v>
      </c>
      <c r="I375" s="107">
        <v>21</v>
      </c>
      <c r="K375" s="370">
        <v>1535</v>
      </c>
      <c r="L375" s="371" t="s">
        <v>3595</v>
      </c>
      <c r="M375" s="372" t="s">
        <v>2821</v>
      </c>
      <c r="N375" s="373"/>
    </row>
    <row r="376" spans="1:14" ht="12.75">
      <c r="A376">
        <v>369</v>
      </c>
      <c r="B376" s="557" t="s">
        <v>4281</v>
      </c>
      <c r="C376" t="s">
        <v>4701</v>
      </c>
      <c r="D376" s="107" t="s">
        <v>2522</v>
      </c>
      <c r="E376" s="540">
        <v>1638</v>
      </c>
      <c r="F376" s="556">
        <v>283</v>
      </c>
      <c r="G376" s="541">
        <v>172.71</v>
      </c>
      <c r="H376" s="560">
        <v>0.02</v>
      </c>
      <c r="I376" s="107">
        <v>2</v>
      </c>
      <c r="K376" s="370">
        <v>1538</v>
      </c>
      <c r="L376" s="371" t="s">
        <v>3596</v>
      </c>
      <c r="M376" s="372" t="s">
        <v>2821</v>
      </c>
      <c r="N376" s="373"/>
    </row>
    <row r="377" spans="1:14" ht="12.75">
      <c r="A377">
        <v>370</v>
      </c>
      <c r="B377" s="557">
        <v>443</v>
      </c>
      <c r="C377" t="s">
        <v>4702</v>
      </c>
      <c r="D377" s="107" t="s">
        <v>2439</v>
      </c>
      <c r="E377" s="540">
        <v>2791</v>
      </c>
      <c r="F377" s="556">
        <v>283</v>
      </c>
      <c r="G377" s="541">
        <v>101.33</v>
      </c>
      <c r="H377" s="560">
        <v>0.02</v>
      </c>
      <c r="I377" s="107">
        <v>14</v>
      </c>
      <c r="K377" s="370">
        <v>1541</v>
      </c>
      <c r="L377" s="371" t="s">
        <v>3597</v>
      </c>
      <c r="M377" s="372" t="s">
        <v>2821</v>
      </c>
      <c r="N377" s="373"/>
    </row>
    <row r="378" spans="1:14" ht="12.75">
      <c r="A378">
        <v>371</v>
      </c>
      <c r="B378" s="557" t="s">
        <v>4000</v>
      </c>
      <c r="C378" t="s">
        <v>4703</v>
      </c>
      <c r="D378" s="107" t="s">
        <v>1773</v>
      </c>
      <c r="E378" s="540">
        <v>262</v>
      </c>
      <c r="F378" s="556">
        <v>280</v>
      </c>
      <c r="G378" s="541">
        <v>1069.75</v>
      </c>
      <c r="H378" s="560">
        <v>0.02</v>
      </c>
      <c r="I378" s="107">
        <v>5</v>
      </c>
      <c r="K378" s="370">
        <v>1542</v>
      </c>
      <c r="L378" s="371" t="s">
        <v>3598</v>
      </c>
      <c r="M378" s="372" t="s">
        <v>2821</v>
      </c>
      <c r="N378" s="373"/>
    </row>
    <row r="379" spans="1:14" ht="12.75">
      <c r="A379">
        <v>372</v>
      </c>
      <c r="B379" s="557">
        <v>6551</v>
      </c>
      <c r="C379" t="s">
        <v>4704</v>
      </c>
      <c r="D379" s="107" t="s">
        <v>2439</v>
      </c>
      <c r="E379" s="540">
        <v>189465</v>
      </c>
      <c r="F379" s="556">
        <v>279</v>
      </c>
      <c r="G379" s="541">
        <v>1.47</v>
      </c>
      <c r="H379" s="560">
        <v>0.02</v>
      </c>
      <c r="I379" s="107">
        <v>33</v>
      </c>
      <c r="K379" s="370">
        <v>1543</v>
      </c>
      <c r="L379" s="371" t="s">
        <v>3599</v>
      </c>
      <c r="M379" s="372" t="s">
        <v>2821</v>
      </c>
      <c r="N379" s="373"/>
    </row>
    <row r="380" spans="1:14" ht="12.75">
      <c r="A380">
        <v>373</v>
      </c>
      <c r="B380" s="557">
        <v>4830</v>
      </c>
      <c r="C380" t="s">
        <v>4705</v>
      </c>
      <c r="D380" s="107" t="s">
        <v>2439</v>
      </c>
      <c r="E380" s="540">
        <v>315160</v>
      </c>
      <c r="F380" s="556">
        <v>279</v>
      </c>
      <c r="G380" s="541">
        <v>0.89</v>
      </c>
      <c r="H380" s="560">
        <v>0.02</v>
      </c>
      <c r="I380" s="107">
        <v>108</v>
      </c>
      <c r="K380" s="370">
        <v>1544</v>
      </c>
      <c r="L380" s="371" t="s">
        <v>3600</v>
      </c>
      <c r="M380" s="372" t="s">
        <v>2821</v>
      </c>
      <c r="N380" s="373"/>
    </row>
    <row r="381" spans="1:14" ht="12.75">
      <c r="A381">
        <v>374</v>
      </c>
      <c r="B381" s="557">
        <v>1216</v>
      </c>
      <c r="C381" t="s">
        <v>4706</v>
      </c>
      <c r="D381" s="107" t="s">
        <v>2522</v>
      </c>
      <c r="E381" s="540">
        <v>56</v>
      </c>
      <c r="F381" s="556">
        <v>276</v>
      </c>
      <c r="G381" s="541">
        <v>4921.94</v>
      </c>
      <c r="H381" s="560">
        <v>0.02</v>
      </c>
      <c r="I381" s="107">
        <v>12</v>
      </c>
      <c r="K381" s="370">
        <v>1545</v>
      </c>
      <c r="L381" s="371" t="s">
        <v>1214</v>
      </c>
      <c r="M381" s="372" t="s">
        <v>2821</v>
      </c>
      <c r="N381" s="373"/>
    </row>
    <row r="382" spans="1:16" ht="12.75">
      <c r="A382">
        <v>375</v>
      </c>
      <c r="B382" s="557">
        <v>3247</v>
      </c>
      <c r="C382" t="s">
        <v>4707</v>
      </c>
      <c r="D382" s="107" t="s">
        <v>1772</v>
      </c>
      <c r="E382" s="540">
        <v>1387</v>
      </c>
      <c r="F382" s="556">
        <v>275</v>
      </c>
      <c r="G382" s="541">
        <v>197.93</v>
      </c>
      <c r="H382" s="560">
        <v>0.02</v>
      </c>
      <c r="I382" s="107">
        <v>2</v>
      </c>
      <c r="K382" s="370">
        <v>1547</v>
      </c>
      <c r="L382" s="371" t="s">
        <v>1747</v>
      </c>
      <c r="M382" s="372" t="s">
        <v>751</v>
      </c>
      <c r="N382" s="373" t="s">
        <v>1748</v>
      </c>
      <c r="O382" s="374" t="s">
        <v>1747</v>
      </c>
      <c r="P382" s="374" t="s">
        <v>754</v>
      </c>
    </row>
    <row r="383" spans="1:16" ht="12.75">
      <c r="A383">
        <v>376</v>
      </c>
      <c r="B383" s="557">
        <v>461</v>
      </c>
      <c r="C383" t="s">
        <v>4708</v>
      </c>
      <c r="D383" s="107" t="s">
        <v>2439</v>
      </c>
      <c r="E383" s="540">
        <v>2880</v>
      </c>
      <c r="F383" s="556">
        <v>271</v>
      </c>
      <c r="G383" s="541">
        <v>94.24</v>
      </c>
      <c r="H383" s="560">
        <v>0.02</v>
      </c>
      <c r="I383" s="107">
        <v>20</v>
      </c>
      <c r="K383" s="370">
        <v>1550</v>
      </c>
      <c r="L383" s="371" t="s">
        <v>1749</v>
      </c>
      <c r="M383" s="372" t="s">
        <v>751</v>
      </c>
      <c r="N383" s="373" t="s">
        <v>1750</v>
      </c>
      <c r="O383" s="374" t="s">
        <v>1749</v>
      </c>
      <c r="P383" s="374" t="s">
        <v>754</v>
      </c>
    </row>
    <row r="384" spans="1:14" ht="12.75">
      <c r="A384">
        <v>377</v>
      </c>
      <c r="B384" s="557">
        <v>14014</v>
      </c>
      <c r="C384" t="s">
        <v>4709</v>
      </c>
      <c r="D384" s="107" t="s">
        <v>2439</v>
      </c>
      <c r="E384" s="540">
        <v>1389</v>
      </c>
      <c r="F384" s="556">
        <v>269</v>
      </c>
      <c r="G384" s="541">
        <v>194</v>
      </c>
      <c r="H384" s="560">
        <v>0.02</v>
      </c>
      <c r="I384" s="107">
        <v>5</v>
      </c>
      <c r="K384" s="370">
        <v>1559</v>
      </c>
      <c r="L384" s="371" t="s">
        <v>1751</v>
      </c>
      <c r="M384" s="372" t="s">
        <v>2821</v>
      </c>
      <c r="N384" s="373"/>
    </row>
    <row r="385" spans="1:14" ht="12.75">
      <c r="A385">
        <v>378</v>
      </c>
      <c r="B385" s="557">
        <v>14089</v>
      </c>
      <c r="C385" t="s">
        <v>4072</v>
      </c>
      <c r="D385" s="107" t="s">
        <v>2522</v>
      </c>
      <c r="E385" s="540">
        <v>54</v>
      </c>
      <c r="F385" s="556">
        <v>265</v>
      </c>
      <c r="G385" s="541">
        <v>4903.98</v>
      </c>
      <c r="H385" s="560">
        <v>0.02</v>
      </c>
      <c r="I385" s="107">
        <v>9</v>
      </c>
      <c r="K385" s="370">
        <v>1562</v>
      </c>
      <c r="L385" s="371" t="s">
        <v>1752</v>
      </c>
      <c r="M385" s="372" t="s">
        <v>2821</v>
      </c>
      <c r="N385" s="373"/>
    </row>
    <row r="386" spans="1:14" ht="12.75">
      <c r="A386">
        <v>379</v>
      </c>
      <c r="B386" s="557">
        <v>3295</v>
      </c>
      <c r="C386" t="s">
        <v>4710</v>
      </c>
      <c r="D386" s="107" t="s">
        <v>2439</v>
      </c>
      <c r="E386" s="540">
        <v>495</v>
      </c>
      <c r="F386" s="556">
        <v>264</v>
      </c>
      <c r="G386" s="541">
        <v>533.74</v>
      </c>
      <c r="H386" s="560">
        <v>0.02</v>
      </c>
      <c r="I386" s="107">
        <v>2</v>
      </c>
      <c r="K386" s="370">
        <v>1565</v>
      </c>
      <c r="L386" s="371" t="s">
        <v>1753</v>
      </c>
      <c r="M386" s="372" t="s">
        <v>2821</v>
      </c>
      <c r="N386" s="373"/>
    </row>
    <row r="387" spans="1:14" ht="12.75">
      <c r="A387">
        <v>380</v>
      </c>
      <c r="B387" s="557">
        <v>8752</v>
      </c>
      <c r="C387" t="s">
        <v>4711</v>
      </c>
      <c r="D387" s="107" t="s">
        <v>2441</v>
      </c>
      <c r="E387" s="540">
        <v>1</v>
      </c>
      <c r="F387" s="556">
        <v>264</v>
      </c>
      <c r="G387" s="541">
        <v>263690</v>
      </c>
      <c r="H387" s="560">
        <v>0.02</v>
      </c>
      <c r="I387" s="107">
        <v>1</v>
      </c>
      <c r="K387" s="370">
        <v>1568</v>
      </c>
      <c r="L387" s="371" t="s">
        <v>1754</v>
      </c>
      <c r="M387" s="372" t="s">
        <v>2821</v>
      </c>
      <c r="N387" s="373"/>
    </row>
    <row r="388" spans="1:14" ht="12.75">
      <c r="A388">
        <v>381</v>
      </c>
      <c r="B388" s="557" t="s">
        <v>4712</v>
      </c>
      <c r="C388" t="s">
        <v>4713</v>
      </c>
      <c r="D388" s="107" t="s">
        <v>1771</v>
      </c>
      <c r="E388" s="540">
        <v>88859</v>
      </c>
      <c r="F388" s="556">
        <v>263</v>
      </c>
      <c r="G388" s="541">
        <v>2.96</v>
      </c>
      <c r="H388" s="560">
        <v>0.02</v>
      </c>
      <c r="I388" s="107">
        <v>2</v>
      </c>
      <c r="K388" s="370">
        <v>1570</v>
      </c>
      <c r="L388" s="371" t="s">
        <v>1755</v>
      </c>
      <c r="M388" s="372" t="s">
        <v>2821</v>
      </c>
      <c r="N388" s="373"/>
    </row>
    <row r="389" spans="1:14" ht="12.75">
      <c r="A389">
        <v>382</v>
      </c>
      <c r="B389" s="557" t="s">
        <v>4204</v>
      </c>
      <c r="C389" t="s">
        <v>4714</v>
      </c>
      <c r="D389" s="107" t="s">
        <v>2439</v>
      </c>
      <c r="E389" s="540">
        <v>2916</v>
      </c>
      <c r="F389" s="556">
        <v>261</v>
      </c>
      <c r="G389" s="541">
        <v>89.34</v>
      </c>
      <c r="H389" s="560">
        <v>0.02</v>
      </c>
      <c r="I389" s="107">
        <v>8</v>
      </c>
      <c r="K389" s="370">
        <v>1571</v>
      </c>
      <c r="L389" s="371" t="s">
        <v>1756</v>
      </c>
      <c r="M389" s="372" t="s">
        <v>2821</v>
      </c>
      <c r="N389" s="373"/>
    </row>
    <row r="390" spans="1:14" ht="12.75">
      <c r="A390">
        <v>383</v>
      </c>
      <c r="B390" s="557" t="s">
        <v>3995</v>
      </c>
      <c r="C390" t="s">
        <v>4715</v>
      </c>
      <c r="D390" s="107" t="s">
        <v>2439</v>
      </c>
      <c r="E390" s="540">
        <v>1038702</v>
      </c>
      <c r="F390" s="556">
        <v>259</v>
      </c>
      <c r="G390" s="541">
        <v>0.25</v>
      </c>
      <c r="H390" s="560">
        <v>0.02</v>
      </c>
      <c r="I390" s="107">
        <v>61</v>
      </c>
      <c r="K390" s="370">
        <v>1577</v>
      </c>
      <c r="L390" s="371" t="s">
        <v>1757</v>
      </c>
      <c r="M390" s="372" t="s">
        <v>2821</v>
      </c>
      <c r="N390" s="373"/>
    </row>
    <row r="391" spans="1:14" ht="12.75">
      <c r="A391">
        <v>384</v>
      </c>
      <c r="B391" s="557" t="s">
        <v>3474</v>
      </c>
      <c r="C391" t="s">
        <v>4716</v>
      </c>
      <c r="D391" s="107" t="s">
        <v>2522</v>
      </c>
      <c r="E391" s="540">
        <v>454</v>
      </c>
      <c r="F391" s="556">
        <v>258</v>
      </c>
      <c r="G391" s="541">
        <v>568.62</v>
      </c>
      <c r="H391" s="560">
        <v>0.02</v>
      </c>
      <c r="I391" s="107">
        <v>27</v>
      </c>
      <c r="K391" s="370">
        <v>1580</v>
      </c>
      <c r="L391" s="371" t="s">
        <v>1758</v>
      </c>
      <c r="M391" s="372" t="s">
        <v>2821</v>
      </c>
      <c r="N391" s="373"/>
    </row>
    <row r="392" spans="1:14" ht="12.75">
      <c r="A392">
        <v>385</v>
      </c>
      <c r="B392" s="557">
        <v>1505</v>
      </c>
      <c r="C392" t="s">
        <v>4717</v>
      </c>
      <c r="D392" s="107" t="s">
        <v>2522</v>
      </c>
      <c r="E392" s="540">
        <v>37</v>
      </c>
      <c r="F392" s="556">
        <v>256</v>
      </c>
      <c r="G392" s="541">
        <v>6922.94</v>
      </c>
      <c r="H392" s="560">
        <v>0.02</v>
      </c>
      <c r="I392" s="107">
        <v>5</v>
      </c>
      <c r="K392" s="370">
        <v>1581</v>
      </c>
      <c r="L392" s="371" t="s">
        <v>3762</v>
      </c>
      <c r="M392" s="372" t="s">
        <v>2821</v>
      </c>
      <c r="N392" s="373"/>
    </row>
    <row r="393" spans="1:14" ht="12.75">
      <c r="A393">
        <v>386</v>
      </c>
      <c r="B393" s="557">
        <v>14020</v>
      </c>
      <c r="C393" t="s">
        <v>4718</v>
      </c>
      <c r="D393" s="107" t="s">
        <v>2522</v>
      </c>
      <c r="E393" s="540">
        <v>32</v>
      </c>
      <c r="F393" s="556">
        <v>256</v>
      </c>
      <c r="G393" s="541">
        <v>8004.38</v>
      </c>
      <c r="H393" s="560">
        <v>0.02</v>
      </c>
      <c r="I393" s="107">
        <v>6</v>
      </c>
      <c r="K393" s="370">
        <v>1582</v>
      </c>
      <c r="L393" s="371" t="s">
        <v>3763</v>
      </c>
      <c r="M393" s="372" t="s">
        <v>2821</v>
      </c>
      <c r="N393" s="375"/>
    </row>
    <row r="394" spans="1:14" ht="12.75">
      <c r="A394">
        <v>387</v>
      </c>
      <c r="B394" s="557">
        <v>14050</v>
      </c>
      <c r="C394" t="s">
        <v>4719</v>
      </c>
      <c r="D394" s="107" t="s">
        <v>2439</v>
      </c>
      <c r="E394" s="540">
        <v>1161</v>
      </c>
      <c r="F394" s="556">
        <v>255</v>
      </c>
      <c r="G394" s="541">
        <v>220</v>
      </c>
      <c r="H394" s="560">
        <v>0.02</v>
      </c>
      <c r="I394" s="107">
        <v>1</v>
      </c>
      <c r="K394" s="370">
        <v>1583</v>
      </c>
      <c r="L394" s="371" t="s">
        <v>3764</v>
      </c>
      <c r="M394" s="372" t="s">
        <v>2821</v>
      </c>
      <c r="N394" s="373"/>
    </row>
    <row r="395" spans="1:14" ht="12.75">
      <c r="A395">
        <v>388</v>
      </c>
      <c r="B395" s="557">
        <v>8301</v>
      </c>
      <c r="C395" t="s">
        <v>4720</v>
      </c>
      <c r="D395" s="107" t="s">
        <v>2441</v>
      </c>
      <c r="E395" s="540">
        <v>6</v>
      </c>
      <c r="F395" s="556">
        <v>253</v>
      </c>
      <c r="G395" s="541">
        <v>42234.4</v>
      </c>
      <c r="H395" s="560">
        <v>0.02</v>
      </c>
      <c r="I395" s="107">
        <v>6</v>
      </c>
      <c r="K395" s="370">
        <v>1584</v>
      </c>
      <c r="L395" s="371" t="s">
        <v>3765</v>
      </c>
      <c r="M395" s="372" t="s">
        <v>2821</v>
      </c>
      <c r="N395" s="373"/>
    </row>
    <row r="396" spans="1:14" ht="12.75">
      <c r="A396">
        <v>389</v>
      </c>
      <c r="B396" s="557">
        <v>531</v>
      </c>
      <c r="C396" t="s">
        <v>4721</v>
      </c>
      <c r="D396" s="107" t="s">
        <v>2439</v>
      </c>
      <c r="E396" s="540">
        <v>1004</v>
      </c>
      <c r="F396" s="556">
        <v>251</v>
      </c>
      <c r="G396" s="541">
        <v>250.19</v>
      </c>
      <c r="H396" s="560">
        <v>0.02</v>
      </c>
      <c r="I396" s="107">
        <v>4</v>
      </c>
      <c r="K396" s="370">
        <v>1585</v>
      </c>
      <c r="L396" s="371" t="s">
        <v>3766</v>
      </c>
      <c r="M396" s="372" t="s">
        <v>2821</v>
      </c>
      <c r="N396" s="373"/>
    </row>
    <row r="397" spans="1:14" ht="12.75">
      <c r="A397">
        <v>390</v>
      </c>
      <c r="B397" s="557">
        <v>441</v>
      </c>
      <c r="C397" t="s">
        <v>4722</v>
      </c>
      <c r="D397" s="107" t="s">
        <v>2439</v>
      </c>
      <c r="E397" s="540">
        <v>3133</v>
      </c>
      <c r="F397" s="556">
        <v>251</v>
      </c>
      <c r="G397" s="541">
        <v>80.15</v>
      </c>
      <c r="H397" s="560">
        <v>0.02</v>
      </c>
      <c r="I397" s="107">
        <v>20</v>
      </c>
      <c r="K397" s="370">
        <v>1586</v>
      </c>
      <c r="L397" s="371" t="s">
        <v>3767</v>
      </c>
      <c r="M397" s="372" t="s">
        <v>2821</v>
      </c>
      <c r="N397" s="373"/>
    </row>
    <row r="398" spans="1:14" ht="12.75">
      <c r="A398">
        <v>391</v>
      </c>
      <c r="B398" s="557" t="s">
        <v>4166</v>
      </c>
      <c r="C398" t="s">
        <v>4167</v>
      </c>
      <c r="D398" s="107" t="s">
        <v>2439</v>
      </c>
      <c r="E398" s="540">
        <v>125065</v>
      </c>
      <c r="F398" s="556">
        <v>251</v>
      </c>
      <c r="G398" s="541">
        <v>2.01</v>
      </c>
      <c r="H398" s="560">
        <v>0.02</v>
      </c>
      <c r="I398" s="107">
        <v>2</v>
      </c>
      <c r="K398" s="370">
        <v>1587</v>
      </c>
      <c r="L398" s="371" t="s">
        <v>3768</v>
      </c>
      <c r="M398" s="372" t="s">
        <v>2821</v>
      </c>
      <c r="N398" s="373"/>
    </row>
    <row r="399" spans="1:14" ht="12.75">
      <c r="A399">
        <v>392</v>
      </c>
      <c r="B399" s="557">
        <v>8504</v>
      </c>
      <c r="C399" t="s">
        <v>4723</v>
      </c>
      <c r="D399" s="107" t="s">
        <v>1772</v>
      </c>
      <c r="E399" s="540">
        <v>6487</v>
      </c>
      <c r="F399" s="556">
        <v>247</v>
      </c>
      <c r="G399" s="541">
        <v>38.04</v>
      </c>
      <c r="H399" s="560">
        <v>0.02</v>
      </c>
      <c r="I399" s="107">
        <v>16</v>
      </c>
      <c r="K399" s="370">
        <v>1588</v>
      </c>
      <c r="L399" s="371" t="s">
        <v>3769</v>
      </c>
      <c r="M399" s="372" t="s">
        <v>2821</v>
      </c>
      <c r="N399" s="373"/>
    </row>
    <row r="400" spans="1:14" ht="12.75">
      <c r="A400">
        <v>393</v>
      </c>
      <c r="B400" s="557" t="s">
        <v>4724</v>
      </c>
      <c r="C400" t="s">
        <v>4725</v>
      </c>
      <c r="D400" s="107" t="s">
        <v>2439</v>
      </c>
      <c r="E400" s="540">
        <v>175</v>
      </c>
      <c r="F400" s="556">
        <v>244</v>
      </c>
      <c r="G400" s="541">
        <v>1397</v>
      </c>
      <c r="H400" s="560">
        <v>0.02</v>
      </c>
      <c r="I400" s="107">
        <v>1</v>
      </c>
      <c r="K400" s="370">
        <v>1589</v>
      </c>
      <c r="L400" s="371" t="s">
        <v>3770</v>
      </c>
      <c r="M400" s="372" t="s">
        <v>2821</v>
      </c>
      <c r="N400" s="373"/>
    </row>
    <row r="401" spans="1:16" ht="12.75">
      <c r="A401">
        <v>394</v>
      </c>
      <c r="B401" s="557">
        <v>474</v>
      </c>
      <c r="C401" t="s">
        <v>4726</v>
      </c>
      <c r="D401" s="107" t="s">
        <v>2439</v>
      </c>
      <c r="E401" s="540">
        <v>525</v>
      </c>
      <c r="F401" s="556">
        <v>241</v>
      </c>
      <c r="G401" s="541">
        <v>459.88</v>
      </c>
      <c r="H401" s="560">
        <v>0.02</v>
      </c>
      <c r="I401" s="107">
        <v>4</v>
      </c>
      <c r="K401" s="370">
        <v>1603</v>
      </c>
      <c r="L401" s="371" t="s">
        <v>3771</v>
      </c>
      <c r="M401" s="372" t="s">
        <v>2821</v>
      </c>
      <c r="N401" s="373" t="s">
        <v>3772</v>
      </c>
      <c r="O401" s="374" t="s">
        <v>3773</v>
      </c>
      <c r="P401" s="374" t="s">
        <v>2821</v>
      </c>
    </row>
    <row r="402" spans="1:16" ht="12.75">
      <c r="A402">
        <v>395</v>
      </c>
      <c r="B402" s="557" t="s">
        <v>4126</v>
      </c>
      <c r="C402" t="s">
        <v>4727</v>
      </c>
      <c r="D402" s="107" t="s">
        <v>2522</v>
      </c>
      <c r="E402" s="540">
        <v>546</v>
      </c>
      <c r="F402" s="556">
        <v>241</v>
      </c>
      <c r="G402" s="541">
        <v>441.02</v>
      </c>
      <c r="H402" s="560">
        <v>0.02</v>
      </c>
      <c r="I402" s="107">
        <v>55</v>
      </c>
      <c r="K402" s="370">
        <v>1608</v>
      </c>
      <c r="L402" s="371" t="s">
        <v>3774</v>
      </c>
      <c r="M402" s="372" t="s">
        <v>2821</v>
      </c>
      <c r="N402" s="373" t="s">
        <v>2143</v>
      </c>
      <c r="O402" s="374" t="s">
        <v>2144</v>
      </c>
      <c r="P402" s="374" t="s">
        <v>2821</v>
      </c>
    </row>
    <row r="403" spans="1:16" ht="12.75">
      <c r="A403">
        <v>396</v>
      </c>
      <c r="B403" s="557">
        <v>1212</v>
      </c>
      <c r="C403" t="s">
        <v>4728</v>
      </c>
      <c r="D403" s="107" t="s">
        <v>2522</v>
      </c>
      <c r="E403">
        <v>68</v>
      </c>
      <c r="F403" s="556">
        <v>239</v>
      </c>
      <c r="G403" s="541">
        <v>3515.28</v>
      </c>
      <c r="H403" s="560">
        <v>0.02</v>
      </c>
      <c r="I403" s="107">
        <v>13</v>
      </c>
      <c r="K403" s="370">
        <v>1609</v>
      </c>
      <c r="L403" s="371" t="s">
        <v>2453</v>
      </c>
      <c r="M403" s="372" t="s">
        <v>2821</v>
      </c>
      <c r="N403" s="373" t="s">
        <v>2454</v>
      </c>
      <c r="O403" s="374" t="s">
        <v>2455</v>
      </c>
      <c r="P403" s="374" t="s">
        <v>2821</v>
      </c>
    </row>
    <row r="404" spans="1:16" ht="12.75">
      <c r="A404">
        <v>397</v>
      </c>
      <c r="B404" s="557">
        <v>2002</v>
      </c>
      <c r="C404" t="s">
        <v>4729</v>
      </c>
      <c r="D404" s="107" t="s">
        <v>2439</v>
      </c>
      <c r="E404" s="540">
        <v>18140</v>
      </c>
      <c r="F404" s="556">
        <v>239</v>
      </c>
      <c r="G404" s="541">
        <v>13.16</v>
      </c>
      <c r="H404" s="560">
        <v>0.02</v>
      </c>
      <c r="I404" s="107">
        <v>1</v>
      </c>
      <c r="K404" s="370">
        <v>1614</v>
      </c>
      <c r="L404" s="371" t="s">
        <v>2456</v>
      </c>
      <c r="M404" s="372" t="s">
        <v>2821</v>
      </c>
      <c r="N404" s="373" t="s">
        <v>2457</v>
      </c>
      <c r="O404" s="374" t="s">
        <v>2458</v>
      </c>
      <c r="P404" s="374" t="s">
        <v>2821</v>
      </c>
    </row>
    <row r="405" spans="1:16" ht="12.75">
      <c r="A405">
        <v>398</v>
      </c>
      <c r="B405" s="557" t="s">
        <v>4201</v>
      </c>
      <c r="C405" t="s">
        <v>4730</v>
      </c>
      <c r="D405" s="107" t="s">
        <v>2522</v>
      </c>
      <c r="E405" s="540">
        <v>5</v>
      </c>
      <c r="F405" s="556">
        <v>238</v>
      </c>
      <c r="G405" s="541">
        <v>47548.1</v>
      </c>
      <c r="H405" s="560">
        <v>0.02</v>
      </c>
      <c r="I405" s="107">
        <v>3</v>
      </c>
      <c r="K405" s="370">
        <v>1615</v>
      </c>
      <c r="L405" s="371" t="s">
        <v>2459</v>
      </c>
      <c r="M405" s="372" t="s">
        <v>2821</v>
      </c>
      <c r="N405" s="373" t="s">
        <v>2460</v>
      </c>
      <c r="O405" s="374" t="s">
        <v>2461</v>
      </c>
      <c r="P405" s="374" t="s">
        <v>2821</v>
      </c>
    </row>
    <row r="406" spans="1:16" ht="12.75">
      <c r="A406">
        <v>399</v>
      </c>
      <c r="B406" s="557">
        <v>4850</v>
      </c>
      <c r="C406" t="s">
        <v>4731</v>
      </c>
      <c r="D406" s="107" t="s">
        <v>2439</v>
      </c>
      <c r="E406">
        <v>99879</v>
      </c>
      <c r="F406" s="556">
        <v>236</v>
      </c>
      <c r="G406" s="541">
        <v>2.36</v>
      </c>
      <c r="H406" s="560">
        <v>0.02</v>
      </c>
      <c r="I406" s="107">
        <v>74</v>
      </c>
      <c r="K406" s="370">
        <v>1616</v>
      </c>
      <c r="L406" s="371" t="s">
        <v>2462</v>
      </c>
      <c r="M406" s="372" t="s">
        <v>2821</v>
      </c>
      <c r="N406" s="373" t="s">
        <v>2463</v>
      </c>
      <c r="O406" s="374" t="s">
        <v>2464</v>
      </c>
      <c r="P406" s="374" t="s">
        <v>2821</v>
      </c>
    </row>
    <row r="407" spans="1:16" ht="12.75">
      <c r="A407">
        <v>400</v>
      </c>
      <c r="B407" s="557">
        <v>2352</v>
      </c>
      <c r="C407" t="s">
        <v>4732</v>
      </c>
      <c r="D407" s="107" t="s">
        <v>2439</v>
      </c>
      <c r="E407">
        <v>4842</v>
      </c>
      <c r="F407" s="556">
        <v>234</v>
      </c>
      <c r="G407" s="541">
        <v>48.41</v>
      </c>
      <c r="H407" s="560">
        <v>0.02</v>
      </c>
      <c r="I407" s="107">
        <v>8</v>
      </c>
      <c r="K407" s="370">
        <v>1619</v>
      </c>
      <c r="L407" s="371" t="s">
        <v>2465</v>
      </c>
      <c r="M407" s="372" t="s">
        <v>2821</v>
      </c>
      <c r="N407" s="373" t="s">
        <v>2466</v>
      </c>
      <c r="O407" s="374" t="s">
        <v>2467</v>
      </c>
      <c r="P407" s="374" t="s">
        <v>2821</v>
      </c>
    </row>
    <row r="408" spans="1:16" ht="12.75">
      <c r="A408">
        <v>401</v>
      </c>
      <c r="B408" s="557">
        <v>1820</v>
      </c>
      <c r="C408" t="s">
        <v>4733</v>
      </c>
      <c r="D408" s="107" t="s">
        <v>2439</v>
      </c>
      <c r="E408">
        <v>5008</v>
      </c>
      <c r="F408" s="556">
        <v>233</v>
      </c>
      <c r="G408" s="541">
        <v>46.44</v>
      </c>
      <c r="H408" s="560">
        <v>0.02</v>
      </c>
      <c r="I408" s="107">
        <v>8</v>
      </c>
      <c r="K408" s="370">
        <v>1620</v>
      </c>
      <c r="L408" s="371" t="s">
        <v>2468</v>
      </c>
      <c r="M408" s="372" t="s">
        <v>2821</v>
      </c>
      <c r="N408" s="373" t="s">
        <v>2469</v>
      </c>
      <c r="O408" s="374" t="s">
        <v>2470</v>
      </c>
      <c r="P408" s="374" t="s">
        <v>2821</v>
      </c>
    </row>
    <row r="409" spans="1:16" ht="12.75">
      <c r="A409">
        <v>402</v>
      </c>
      <c r="B409" s="557">
        <v>14550</v>
      </c>
      <c r="C409" t="s">
        <v>4734</v>
      </c>
      <c r="D409" s="107" t="s">
        <v>2439</v>
      </c>
      <c r="E409" s="540">
        <v>1175</v>
      </c>
      <c r="F409" s="556">
        <v>232</v>
      </c>
      <c r="G409" s="541">
        <v>197.5</v>
      </c>
      <c r="H409" s="560">
        <v>0.02</v>
      </c>
      <c r="I409" s="107">
        <v>1</v>
      </c>
      <c r="K409" s="370">
        <v>1621</v>
      </c>
      <c r="L409" s="371" t="s">
        <v>2471</v>
      </c>
      <c r="M409" s="372" t="s">
        <v>2821</v>
      </c>
      <c r="N409" s="373" t="s">
        <v>2472</v>
      </c>
      <c r="O409" s="374" t="s">
        <v>2473</v>
      </c>
      <c r="P409" s="374" t="s">
        <v>2821</v>
      </c>
    </row>
    <row r="410" spans="1:16" ht="12.75">
      <c r="A410">
        <v>403</v>
      </c>
      <c r="B410" s="557">
        <v>15060</v>
      </c>
      <c r="C410" t="s">
        <v>4735</v>
      </c>
      <c r="D410" s="107" t="s">
        <v>2439</v>
      </c>
      <c r="E410">
        <v>2420</v>
      </c>
      <c r="F410" s="556">
        <v>230</v>
      </c>
      <c r="G410" s="541">
        <v>94.84</v>
      </c>
      <c r="H410" s="560">
        <v>0.02</v>
      </c>
      <c r="I410" s="107">
        <v>2</v>
      </c>
      <c r="K410" s="370">
        <v>1622</v>
      </c>
      <c r="L410" s="371" t="s">
        <v>2474</v>
      </c>
      <c r="M410" s="372" t="s">
        <v>2821</v>
      </c>
      <c r="N410" s="373" t="s">
        <v>2475</v>
      </c>
      <c r="O410" s="374" t="s">
        <v>2476</v>
      </c>
      <c r="P410" s="374" t="s">
        <v>2821</v>
      </c>
    </row>
    <row r="411" spans="1:14" ht="12.75">
      <c r="A411">
        <v>404</v>
      </c>
      <c r="B411" s="557">
        <v>1006</v>
      </c>
      <c r="C411" t="s">
        <v>4736</v>
      </c>
      <c r="D411" s="107" t="s">
        <v>2439</v>
      </c>
      <c r="E411">
        <v>23943</v>
      </c>
      <c r="F411" s="556">
        <v>227</v>
      </c>
      <c r="G411" s="541">
        <v>9.5</v>
      </c>
      <c r="H411" s="560">
        <v>0.02</v>
      </c>
      <c r="I411" s="107">
        <v>1</v>
      </c>
      <c r="K411" s="370">
        <v>1630</v>
      </c>
      <c r="L411" s="371" t="s">
        <v>2477</v>
      </c>
      <c r="M411" s="372" t="s">
        <v>2821</v>
      </c>
      <c r="N411" s="373"/>
    </row>
    <row r="412" spans="1:14" ht="12.75">
      <c r="A412">
        <v>405</v>
      </c>
      <c r="B412" s="557">
        <v>4701</v>
      </c>
      <c r="C412" t="s">
        <v>4737</v>
      </c>
      <c r="D412" s="107" t="s">
        <v>2522</v>
      </c>
      <c r="E412">
        <v>104</v>
      </c>
      <c r="F412" s="556">
        <v>227</v>
      </c>
      <c r="G412" s="541">
        <v>2179.81</v>
      </c>
      <c r="H412" s="560">
        <v>0.02</v>
      </c>
      <c r="I412" s="107">
        <v>4</v>
      </c>
      <c r="K412" s="370">
        <v>1633</v>
      </c>
      <c r="L412" s="371" t="s">
        <v>2478</v>
      </c>
      <c r="M412" s="372" t="s">
        <v>2821</v>
      </c>
      <c r="N412" s="373"/>
    </row>
    <row r="413" spans="1:14" ht="12.75">
      <c r="A413">
        <v>406</v>
      </c>
      <c r="B413" s="557">
        <v>2397</v>
      </c>
      <c r="C413" t="s">
        <v>4738</v>
      </c>
      <c r="D413" s="107" t="s">
        <v>2439</v>
      </c>
      <c r="E413">
        <v>16167</v>
      </c>
      <c r="F413" s="556">
        <v>227</v>
      </c>
      <c r="G413" s="541">
        <v>14.02</v>
      </c>
      <c r="H413" s="560">
        <v>0.02</v>
      </c>
      <c r="I413" s="107">
        <v>11</v>
      </c>
      <c r="K413" s="370">
        <v>1634</v>
      </c>
      <c r="L413" s="371" t="s">
        <v>2479</v>
      </c>
      <c r="M413" s="372" t="s">
        <v>2821</v>
      </c>
      <c r="N413" s="373"/>
    </row>
    <row r="414" spans="1:16" ht="12.75">
      <c r="A414">
        <v>407</v>
      </c>
      <c r="B414" s="557">
        <v>2900</v>
      </c>
      <c r="C414" t="s">
        <v>4739</v>
      </c>
      <c r="D414" s="107" t="s">
        <v>2522</v>
      </c>
      <c r="E414">
        <v>29</v>
      </c>
      <c r="F414" s="556">
        <v>225</v>
      </c>
      <c r="G414" s="541">
        <v>7770.47</v>
      </c>
      <c r="H414" s="560">
        <v>0.02</v>
      </c>
      <c r="I414" s="107">
        <v>6</v>
      </c>
      <c r="K414" s="370">
        <v>1641</v>
      </c>
      <c r="L414" s="371" t="s">
        <v>2480</v>
      </c>
      <c r="M414" s="372" t="s">
        <v>2821</v>
      </c>
      <c r="N414" s="373" t="s">
        <v>2481</v>
      </c>
      <c r="O414" s="374" t="s">
        <v>2482</v>
      </c>
      <c r="P414" s="374" t="s">
        <v>2821</v>
      </c>
    </row>
    <row r="415" spans="1:16" ht="12.75">
      <c r="A415">
        <v>408</v>
      </c>
      <c r="B415" s="557">
        <v>4793</v>
      </c>
      <c r="C415" t="s">
        <v>4740</v>
      </c>
      <c r="D415" s="107" t="s">
        <v>2439</v>
      </c>
      <c r="E415">
        <v>15121</v>
      </c>
      <c r="F415" s="556">
        <v>225</v>
      </c>
      <c r="G415" s="541">
        <v>14.9</v>
      </c>
      <c r="H415" s="560">
        <v>0.02</v>
      </c>
      <c r="I415" s="107">
        <v>69</v>
      </c>
      <c r="K415" s="370">
        <v>1642</v>
      </c>
      <c r="L415" s="371" t="s">
        <v>2483</v>
      </c>
      <c r="M415" s="372" t="s">
        <v>2821</v>
      </c>
      <c r="N415" s="373" t="s">
        <v>2484</v>
      </c>
      <c r="O415" s="374" t="s">
        <v>2485</v>
      </c>
      <c r="P415" s="374" t="s">
        <v>2821</v>
      </c>
    </row>
    <row r="416" spans="1:16" ht="12.75">
      <c r="A416">
        <v>409</v>
      </c>
      <c r="B416" s="557" t="s">
        <v>3998</v>
      </c>
      <c r="C416" t="s">
        <v>4741</v>
      </c>
      <c r="D416" s="107" t="s">
        <v>2439</v>
      </c>
      <c r="E416">
        <v>25</v>
      </c>
      <c r="F416" s="556">
        <v>225</v>
      </c>
      <c r="G416" s="541">
        <v>9000</v>
      </c>
      <c r="H416" s="560">
        <v>0.02</v>
      </c>
      <c r="I416" s="107">
        <v>1</v>
      </c>
      <c r="K416" s="370">
        <v>1643</v>
      </c>
      <c r="L416" s="371" t="s">
        <v>2486</v>
      </c>
      <c r="M416" s="372" t="s">
        <v>2821</v>
      </c>
      <c r="N416" s="373" t="s">
        <v>2487</v>
      </c>
      <c r="O416" s="374" t="s">
        <v>2971</v>
      </c>
      <c r="P416" s="374" t="s">
        <v>2821</v>
      </c>
    </row>
    <row r="417" spans="1:16" ht="12.75">
      <c r="A417">
        <v>410</v>
      </c>
      <c r="B417" s="557" t="s">
        <v>4279</v>
      </c>
      <c r="C417" t="s">
        <v>4280</v>
      </c>
      <c r="D417" s="107" t="s">
        <v>2522</v>
      </c>
      <c r="E417">
        <v>47</v>
      </c>
      <c r="F417" s="556">
        <v>225</v>
      </c>
      <c r="G417" s="541">
        <v>4781.06</v>
      </c>
      <c r="H417" s="560">
        <v>0.02</v>
      </c>
      <c r="I417" s="107">
        <v>9</v>
      </c>
      <c r="K417" s="370">
        <v>1644</v>
      </c>
      <c r="L417" s="371" t="s">
        <v>2972</v>
      </c>
      <c r="M417" s="372" t="s">
        <v>2821</v>
      </c>
      <c r="N417" s="373" t="s">
        <v>2973</v>
      </c>
      <c r="O417" s="374" t="s">
        <v>2974</v>
      </c>
      <c r="P417" s="374" t="s">
        <v>2821</v>
      </c>
    </row>
    <row r="418" spans="1:16" ht="12.75">
      <c r="A418">
        <v>411</v>
      </c>
      <c r="B418" s="557" t="s">
        <v>4742</v>
      </c>
      <c r="C418" t="s">
        <v>4743</v>
      </c>
      <c r="D418" s="107" t="s">
        <v>1773</v>
      </c>
      <c r="E418">
        <v>124</v>
      </c>
      <c r="F418" s="556">
        <v>223</v>
      </c>
      <c r="G418" s="541">
        <v>1800</v>
      </c>
      <c r="H418" s="560">
        <v>0.02</v>
      </c>
      <c r="I418" s="107">
        <v>1</v>
      </c>
      <c r="K418" s="370">
        <v>1645</v>
      </c>
      <c r="L418" s="371" t="s">
        <v>2975</v>
      </c>
      <c r="M418" s="372" t="s">
        <v>2821</v>
      </c>
      <c r="N418" s="373" t="s">
        <v>2976</v>
      </c>
      <c r="O418" s="374" t="s">
        <v>2977</v>
      </c>
      <c r="P418" s="374" t="s">
        <v>2821</v>
      </c>
    </row>
    <row r="419" spans="1:16" ht="12.75">
      <c r="A419">
        <v>412</v>
      </c>
      <c r="B419" s="557">
        <v>1028</v>
      </c>
      <c r="C419" t="s">
        <v>4744</v>
      </c>
      <c r="D419" s="107" t="s">
        <v>2522</v>
      </c>
      <c r="E419">
        <v>237</v>
      </c>
      <c r="F419" s="556">
        <v>223</v>
      </c>
      <c r="G419" s="541">
        <v>939.26</v>
      </c>
      <c r="H419" s="560">
        <v>0.02</v>
      </c>
      <c r="I419" s="107">
        <v>21</v>
      </c>
      <c r="K419" s="370">
        <v>1646</v>
      </c>
      <c r="L419" s="371" t="s">
        <v>2978</v>
      </c>
      <c r="M419" s="372" t="s">
        <v>2821</v>
      </c>
      <c r="N419" s="373" t="s">
        <v>2979</v>
      </c>
      <c r="O419" s="374" t="s">
        <v>2980</v>
      </c>
      <c r="P419" s="374" t="s">
        <v>2821</v>
      </c>
    </row>
    <row r="420" spans="1:16" ht="12.75">
      <c r="A420">
        <v>413</v>
      </c>
      <c r="B420" s="557" t="s">
        <v>4029</v>
      </c>
      <c r="C420" t="s">
        <v>4745</v>
      </c>
      <c r="D420" s="107" t="s">
        <v>2522</v>
      </c>
      <c r="E420">
        <v>22</v>
      </c>
      <c r="F420" s="556">
        <v>222</v>
      </c>
      <c r="G420" s="541">
        <v>10071.79</v>
      </c>
      <c r="H420" s="560">
        <v>0.02</v>
      </c>
      <c r="I420" s="107">
        <v>8</v>
      </c>
      <c r="K420" s="370">
        <v>1647</v>
      </c>
      <c r="L420" s="371" t="s">
        <v>2981</v>
      </c>
      <c r="M420" s="372" t="s">
        <v>2821</v>
      </c>
      <c r="N420" s="373" t="s">
        <v>2982</v>
      </c>
      <c r="O420" s="374" t="s">
        <v>2983</v>
      </c>
      <c r="P420" s="374" t="s">
        <v>2821</v>
      </c>
    </row>
    <row r="421" spans="1:16" ht="12.75">
      <c r="A421">
        <v>414</v>
      </c>
      <c r="B421" s="557">
        <v>1885</v>
      </c>
      <c r="C421" t="s">
        <v>4746</v>
      </c>
      <c r="D421" s="107" t="s">
        <v>2439</v>
      </c>
      <c r="E421">
        <v>6512</v>
      </c>
      <c r="F421" s="556">
        <v>219</v>
      </c>
      <c r="G421" s="541">
        <v>33.59</v>
      </c>
      <c r="H421" s="560">
        <v>0.02</v>
      </c>
      <c r="I421" s="107">
        <v>1</v>
      </c>
      <c r="K421" s="370">
        <v>1648</v>
      </c>
      <c r="L421" s="371" t="s">
        <v>2984</v>
      </c>
      <c r="M421" s="372" t="s">
        <v>2821</v>
      </c>
      <c r="N421" s="373" t="s">
        <v>2985</v>
      </c>
      <c r="O421" s="374" t="s">
        <v>2986</v>
      </c>
      <c r="P421" s="374" t="s">
        <v>2821</v>
      </c>
    </row>
    <row r="422" spans="1:16" ht="12.75">
      <c r="A422">
        <v>415</v>
      </c>
      <c r="B422" s="557">
        <v>40038</v>
      </c>
      <c r="C422" t="s">
        <v>4747</v>
      </c>
      <c r="D422" s="107" t="s">
        <v>1771</v>
      </c>
      <c r="E422">
        <v>4950</v>
      </c>
      <c r="F422" s="556">
        <v>218</v>
      </c>
      <c r="G422" s="541">
        <v>44.12</v>
      </c>
      <c r="H422" s="560">
        <v>0.02</v>
      </c>
      <c r="I422" s="107">
        <v>1</v>
      </c>
      <c r="K422" s="370">
        <v>1649</v>
      </c>
      <c r="L422" s="371" t="s">
        <v>2987</v>
      </c>
      <c r="M422" s="372" t="s">
        <v>2821</v>
      </c>
      <c r="N422" s="373" t="s">
        <v>2988</v>
      </c>
      <c r="O422" s="374" t="s">
        <v>2989</v>
      </c>
      <c r="P422" s="374" t="s">
        <v>2821</v>
      </c>
    </row>
    <row r="423" spans="1:14" ht="12.75">
      <c r="A423">
        <v>416</v>
      </c>
      <c r="B423" s="557" t="s">
        <v>4748</v>
      </c>
      <c r="C423" t="s">
        <v>4749</v>
      </c>
      <c r="D423" s="107" t="s">
        <v>2439</v>
      </c>
      <c r="E423">
        <v>14348</v>
      </c>
      <c r="F423" s="556">
        <v>218</v>
      </c>
      <c r="G423" s="541">
        <v>15.18</v>
      </c>
      <c r="H423" s="560">
        <v>0.02</v>
      </c>
      <c r="I423" s="107">
        <v>2</v>
      </c>
      <c r="K423" s="370">
        <v>1650</v>
      </c>
      <c r="L423" s="371" t="s">
        <v>2990</v>
      </c>
      <c r="M423" s="372" t="s">
        <v>2821</v>
      </c>
      <c r="N423" s="373"/>
    </row>
    <row r="424" spans="1:14" ht="12.75">
      <c r="A424">
        <v>417</v>
      </c>
      <c r="B424" s="557" t="s">
        <v>4154</v>
      </c>
      <c r="C424" t="s">
        <v>4155</v>
      </c>
      <c r="D424" s="107" t="s">
        <v>2439</v>
      </c>
      <c r="E424">
        <v>193091</v>
      </c>
      <c r="F424" s="556">
        <v>217</v>
      </c>
      <c r="G424" s="541">
        <v>1.12</v>
      </c>
      <c r="H424" s="560">
        <v>0.02</v>
      </c>
      <c r="I424" s="107">
        <v>7</v>
      </c>
      <c r="K424" s="370">
        <v>1651</v>
      </c>
      <c r="L424" s="371" t="s">
        <v>2991</v>
      </c>
      <c r="M424" s="372" t="s">
        <v>2821</v>
      </c>
      <c r="N424" s="373"/>
    </row>
    <row r="425" spans="1:14" ht="12.75">
      <c r="A425">
        <v>418</v>
      </c>
      <c r="B425" s="557" t="s">
        <v>4079</v>
      </c>
      <c r="C425" t="s">
        <v>4750</v>
      </c>
      <c r="D425" s="107" t="s">
        <v>2439</v>
      </c>
      <c r="E425">
        <v>42249</v>
      </c>
      <c r="F425" s="556">
        <v>213</v>
      </c>
      <c r="G425" s="541">
        <v>5.04</v>
      </c>
      <c r="H425" s="560">
        <v>0.02</v>
      </c>
      <c r="I425" s="107">
        <v>4</v>
      </c>
      <c r="K425" s="370">
        <v>1653</v>
      </c>
      <c r="L425" s="371" t="s">
        <v>2992</v>
      </c>
      <c r="M425" s="372" t="s">
        <v>2821</v>
      </c>
      <c r="N425" s="373"/>
    </row>
    <row r="426" spans="1:14" ht="12.75">
      <c r="A426">
        <v>419</v>
      </c>
      <c r="B426" s="557" t="s">
        <v>4751</v>
      </c>
      <c r="C426" t="s">
        <v>4752</v>
      </c>
      <c r="D426" s="107" t="s">
        <v>2439</v>
      </c>
      <c r="E426">
        <v>3598</v>
      </c>
      <c r="F426" s="556">
        <v>212</v>
      </c>
      <c r="G426" s="541">
        <v>58.81</v>
      </c>
      <c r="H426" s="560">
        <v>0.02</v>
      </c>
      <c r="I426" s="107">
        <v>2</v>
      </c>
      <c r="K426" s="370">
        <v>1655</v>
      </c>
      <c r="L426" s="371" t="s">
        <v>2993</v>
      </c>
      <c r="M426" s="372" t="s">
        <v>2821</v>
      </c>
      <c r="N426" s="373"/>
    </row>
    <row r="427" spans="1:14" ht="12.75">
      <c r="A427">
        <v>420</v>
      </c>
      <c r="B427" s="557">
        <v>2929</v>
      </c>
      <c r="C427" t="s">
        <v>4753</v>
      </c>
      <c r="D427" s="107" t="s">
        <v>2522</v>
      </c>
      <c r="E427">
        <v>20</v>
      </c>
      <c r="F427" s="556">
        <v>211</v>
      </c>
      <c r="G427" s="541">
        <v>10573.06</v>
      </c>
      <c r="H427" s="560">
        <v>0.02</v>
      </c>
      <c r="I427" s="107">
        <v>6</v>
      </c>
      <c r="K427" s="370">
        <v>1659</v>
      </c>
      <c r="L427" s="371" t="s">
        <v>2994</v>
      </c>
      <c r="M427" s="372" t="s">
        <v>2821</v>
      </c>
      <c r="N427" s="373"/>
    </row>
    <row r="428" spans="1:14" ht="12.75">
      <c r="A428">
        <v>421</v>
      </c>
      <c r="B428" s="557" t="s">
        <v>4168</v>
      </c>
      <c r="C428" t="s">
        <v>4169</v>
      </c>
      <c r="D428" s="107" t="s">
        <v>2439</v>
      </c>
      <c r="E428">
        <v>102795</v>
      </c>
      <c r="F428" s="556">
        <v>208</v>
      </c>
      <c r="G428" s="541">
        <v>2.02</v>
      </c>
      <c r="H428" s="560">
        <v>0.02</v>
      </c>
      <c r="I428" s="107">
        <v>2</v>
      </c>
      <c r="K428" s="370">
        <v>1660</v>
      </c>
      <c r="L428" s="371" t="s">
        <v>2995</v>
      </c>
      <c r="M428" s="372" t="s">
        <v>2821</v>
      </c>
      <c r="N428" s="373"/>
    </row>
    <row r="429" spans="1:14" ht="12.75">
      <c r="A429">
        <v>422</v>
      </c>
      <c r="B429" s="557" t="s">
        <v>4012</v>
      </c>
      <c r="C429" t="s">
        <v>4754</v>
      </c>
      <c r="D429" s="107" t="s">
        <v>2439</v>
      </c>
      <c r="E429">
        <v>15934</v>
      </c>
      <c r="F429" s="556">
        <v>207</v>
      </c>
      <c r="G429" s="541">
        <v>13.01</v>
      </c>
      <c r="H429" s="560">
        <v>0.02</v>
      </c>
      <c r="I429" s="107">
        <v>21</v>
      </c>
      <c r="K429" s="370">
        <v>1661</v>
      </c>
      <c r="L429" s="371" t="s">
        <v>2996</v>
      </c>
      <c r="M429" s="372" t="s">
        <v>2821</v>
      </c>
      <c r="N429" s="373"/>
    </row>
    <row r="430" spans="1:14" ht="12.75">
      <c r="A430">
        <v>423</v>
      </c>
      <c r="B430" s="557">
        <v>3262</v>
      </c>
      <c r="C430" t="s">
        <v>4755</v>
      </c>
      <c r="D430" s="107" t="s">
        <v>2522</v>
      </c>
      <c r="E430">
        <v>162</v>
      </c>
      <c r="F430" s="556">
        <v>206</v>
      </c>
      <c r="G430" s="541">
        <v>1273.42</v>
      </c>
      <c r="H430" s="560">
        <v>0.02</v>
      </c>
      <c r="I430" s="107">
        <v>13</v>
      </c>
      <c r="K430" s="370">
        <v>1670</v>
      </c>
      <c r="L430" s="371" t="s">
        <v>2997</v>
      </c>
      <c r="M430" s="372" t="s">
        <v>2821</v>
      </c>
      <c r="N430" s="373"/>
    </row>
    <row r="431" spans="1:14" ht="12.75">
      <c r="A431">
        <v>424</v>
      </c>
      <c r="B431" s="557">
        <v>1653</v>
      </c>
      <c r="C431" t="s">
        <v>4756</v>
      </c>
      <c r="D431" s="107" t="s">
        <v>2522</v>
      </c>
      <c r="E431">
        <v>26</v>
      </c>
      <c r="F431" s="556">
        <v>206</v>
      </c>
      <c r="G431" s="541">
        <v>7930.77</v>
      </c>
      <c r="H431" s="560">
        <v>0.02</v>
      </c>
      <c r="I431" s="107">
        <v>2</v>
      </c>
      <c r="K431" s="370">
        <v>1671</v>
      </c>
      <c r="L431" s="371" t="s">
        <v>2998</v>
      </c>
      <c r="M431" s="372" t="s">
        <v>2821</v>
      </c>
      <c r="N431" s="373"/>
    </row>
    <row r="432" spans="1:14" ht="12.75">
      <c r="A432">
        <v>425</v>
      </c>
      <c r="B432" s="557" t="s">
        <v>4080</v>
      </c>
      <c r="C432" t="s">
        <v>4757</v>
      </c>
      <c r="D432" s="107" t="s">
        <v>1771</v>
      </c>
      <c r="E432">
        <v>202</v>
      </c>
      <c r="F432" s="556">
        <v>206</v>
      </c>
      <c r="G432" s="541">
        <v>1018.09</v>
      </c>
      <c r="H432" s="560">
        <v>0.02</v>
      </c>
      <c r="I432" s="107">
        <v>7</v>
      </c>
      <c r="K432" s="370">
        <v>1689</v>
      </c>
      <c r="L432" s="371" t="s">
        <v>2999</v>
      </c>
      <c r="M432" s="372" t="s">
        <v>2821</v>
      </c>
      <c r="N432" s="373"/>
    </row>
    <row r="433" spans="1:14" ht="12.75">
      <c r="A433">
        <v>426</v>
      </c>
      <c r="B433" s="557">
        <v>6566</v>
      </c>
      <c r="C433" t="s">
        <v>2805</v>
      </c>
      <c r="D433" s="107" t="s">
        <v>2439</v>
      </c>
      <c r="E433">
        <v>32016</v>
      </c>
      <c r="F433" s="556">
        <v>205</v>
      </c>
      <c r="G433" s="541">
        <v>6.41</v>
      </c>
      <c r="H433" s="560">
        <v>0.02</v>
      </c>
      <c r="I433" s="107">
        <v>39</v>
      </c>
      <c r="K433" s="370">
        <v>1690</v>
      </c>
      <c r="L433" s="371" t="s">
        <v>3000</v>
      </c>
      <c r="M433" s="372" t="s">
        <v>2821</v>
      </c>
      <c r="N433" s="373"/>
    </row>
    <row r="434" spans="1:14" ht="12.75">
      <c r="A434">
        <v>427</v>
      </c>
      <c r="B434" s="557">
        <v>2610</v>
      </c>
      <c r="C434" t="s">
        <v>4758</v>
      </c>
      <c r="D434" s="107" t="s">
        <v>1773</v>
      </c>
      <c r="E434">
        <v>1078</v>
      </c>
      <c r="F434" s="556">
        <v>205</v>
      </c>
      <c r="G434" s="541">
        <v>190.05</v>
      </c>
      <c r="H434" s="560">
        <v>0.02</v>
      </c>
      <c r="I434" s="107">
        <v>3</v>
      </c>
      <c r="K434" s="370">
        <v>1691</v>
      </c>
      <c r="L434" s="371" t="s">
        <v>3001</v>
      </c>
      <c r="M434" s="372" t="s">
        <v>2821</v>
      </c>
      <c r="N434" s="373"/>
    </row>
    <row r="435" spans="1:14" ht="12.75">
      <c r="A435">
        <v>428</v>
      </c>
      <c r="B435" s="557">
        <v>1923</v>
      </c>
      <c r="C435" t="s">
        <v>4759</v>
      </c>
      <c r="D435" s="107" t="s">
        <v>1772</v>
      </c>
      <c r="E435">
        <v>1612</v>
      </c>
      <c r="F435" s="556">
        <v>205</v>
      </c>
      <c r="G435" s="541">
        <v>126.86</v>
      </c>
      <c r="H435" s="560">
        <v>0.02</v>
      </c>
      <c r="I435" s="107">
        <v>3</v>
      </c>
      <c r="K435" s="370">
        <v>1705</v>
      </c>
      <c r="L435" s="371" t="s">
        <v>3002</v>
      </c>
      <c r="M435" s="372" t="s">
        <v>2821</v>
      </c>
      <c r="N435" s="373"/>
    </row>
    <row r="436" spans="1:14" ht="12.75">
      <c r="A436">
        <v>429</v>
      </c>
      <c r="B436" s="557" t="s">
        <v>4165</v>
      </c>
      <c r="C436" t="s">
        <v>4760</v>
      </c>
      <c r="D436" s="107" t="s">
        <v>1772</v>
      </c>
      <c r="E436">
        <v>12190</v>
      </c>
      <c r="F436" s="556">
        <v>204</v>
      </c>
      <c r="G436" s="541">
        <v>16.7</v>
      </c>
      <c r="H436" s="560">
        <v>0.02</v>
      </c>
      <c r="I436" s="107">
        <v>1</v>
      </c>
      <c r="K436" s="370">
        <v>1706</v>
      </c>
      <c r="L436" s="371" t="s">
        <v>3003</v>
      </c>
      <c r="M436" s="372" t="s">
        <v>2821</v>
      </c>
      <c r="N436" s="373"/>
    </row>
    <row r="437" spans="1:14" ht="12.75">
      <c r="A437">
        <v>430</v>
      </c>
      <c r="B437" s="557" t="s">
        <v>4133</v>
      </c>
      <c r="C437" t="s">
        <v>4761</v>
      </c>
      <c r="D437" s="107" t="s">
        <v>2441</v>
      </c>
      <c r="E437">
        <v>5</v>
      </c>
      <c r="F437" s="556">
        <v>203</v>
      </c>
      <c r="G437" s="541">
        <v>40600</v>
      </c>
      <c r="H437" s="560">
        <v>0.02</v>
      </c>
      <c r="I437" s="107">
        <v>5</v>
      </c>
      <c r="K437" s="370">
        <v>1708</v>
      </c>
      <c r="L437" s="371" t="s">
        <v>3004</v>
      </c>
      <c r="M437" s="372" t="s">
        <v>2821</v>
      </c>
      <c r="N437" s="373"/>
    </row>
    <row r="438" spans="1:14" ht="12.75">
      <c r="A438">
        <v>431</v>
      </c>
      <c r="B438" s="557" t="s">
        <v>4134</v>
      </c>
      <c r="C438" t="s">
        <v>4762</v>
      </c>
      <c r="D438" s="107" t="s">
        <v>2441</v>
      </c>
      <c r="E438">
        <v>6</v>
      </c>
      <c r="F438" s="556">
        <v>203</v>
      </c>
      <c r="G438" s="541">
        <v>33779.66</v>
      </c>
      <c r="H438" s="560">
        <v>0.02</v>
      </c>
      <c r="I438" s="107">
        <v>6</v>
      </c>
      <c r="K438" s="370">
        <v>1709</v>
      </c>
      <c r="L438" s="371" t="s">
        <v>3005</v>
      </c>
      <c r="M438" s="372" t="s">
        <v>2821</v>
      </c>
      <c r="N438" s="373"/>
    </row>
    <row r="439" spans="1:14" ht="12.75">
      <c r="A439">
        <v>432</v>
      </c>
      <c r="B439" s="557">
        <v>6443</v>
      </c>
      <c r="C439" t="s">
        <v>4763</v>
      </c>
      <c r="D439" s="107" t="s">
        <v>2522</v>
      </c>
      <c r="E439">
        <v>2</v>
      </c>
      <c r="F439" s="556">
        <v>202</v>
      </c>
      <c r="G439" s="541">
        <v>101045.6</v>
      </c>
      <c r="H439" s="560">
        <v>0.02</v>
      </c>
      <c r="I439" s="107">
        <v>1</v>
      </c>
      <c r="K439" s="370">
        <v>1710</v>
      </c>
      <c r="L439" s="371" t="s">
        <v>3006</v>
      </c>
      <c r="M439" s="372" t="s">
        <v>2821</v>
      </c>
      <c r="N439" s="373"/>
    </row>
    <row r="440" spans="1:14" ht="12.75">
      <c r="A440">
        <v>433</v>
      </c>
      <c r="B440" s="557" t="s">
        <v>4764</v>
      </c>
      <c r="C440" t="s">
        <v>4005</v>
      </c>
      <c r="D440" s="107" t="s">
        <v>2441</v>
      </c>
      <c r="E440">
        <v>1</v>
      </c>
      <c r="F440" s="556">
        <v>202</v>
      </c>
      <c r="G440" s="541">
        <v>202000</v>
      </c>
      <c r="H440" s="560">
        <v>0.02</v>
      </c>
      <c r="I440" s="107">
        <v>1</v>
      </c>
      <c r="K440" s="370">
        <v>1711</v>
      </c>
      <c r="L440" s="371" t="s">
        <v>3007</v>
      </c>
      <c r="M440" s="372" t="s">
        <v>2821</v>
      </c>
      <c r="N440" s="375"/>
    </row>
    <row r="441" spans="1:14" ht="12.75">
      <c r="A441">
        <v>434</v>
      </c>
      <c r="B441" s="557" t="s">
        <v>4765</v>
      </c>
      <c r="C441" t="s">
        <v>4766</v>
      </c>
      <c r="D441" s="107" t="s">
        <v>2439</v>
      </c>
      <c r="E441">
        <v>1745</v>
      </c>
      <c r="F441" s="556">
        <v>201</v>
      </c>
      <c r="G441" s="541">
        <v>115.1</v>
      </c>
      <c r="H441" s="560">
        <v>0.02</v>
      </c>
      <c r="I441" s="107">
        <v>3</v>
      </c>
      <c r="K441" s="370">
        <v>1716</v>
      </c>
      <c r="L441" s="371" t="s">
        <v>3008</v>
      </c>
      <c r="M441" s="372" t="s">
        <v>2821</v>
      </c>
      <c r="N441" s="373"/>
    </row>
    <row r="442" spans="1:14" ht="12.75">
      <c r="A442">
        <v>435</v>
      </c>
      <c r="B442" s="557" t="s">
        <v>3213</v>
      </c>
      <c r="C442" t="s">
        <v>4767</v>
      </c>
      <c r="D442" s="107" t="s">
        <v>2439</v>
      </c>
      <c r="E442">
        <v>1360</v>
      </c>
      <c r="F442" s="556">
        <v>201</v>
      </c>
      <c r="G442" s="541">
        <v>147.46</v>
      </c>
      <c r="H442" s="560">
        <v>0.02</v>
      </c>
      <c r="I442" s="107">
        <v>3</v>
      </c>
      <c r="K442" s="370">
        <v>1717</v>
      </c>
      <c r="L442" s="371" t="s">
        <v>3009</v>
      </c>
      <c r="M442" s="372" t="s">
        <v>2821</v>
      </c>
      <c r="N442" s="373"/>
    </row>
    <row r="443" spans="1:14" ht="12.75">
      <c r="A443">
        <v>436</v>
      </c>
      <c r="B443" s="557">
        <v>1728</v>
      </c>
      <c r="C443" t="s">
        <v>4768</v>
      </c>
      <c r="D443" s="107" t="s">
        <v>2522</v>
      </c>
      <c r="E443">
        <v>29</v>
      </c>
      <c r="F443" s="556">
        <v>200</v>
      </c>
      <c r="G443" s="541">
        <v>6906.9</v>
      </c>
      <c r="H443" s="560">
        <v>0.02</v>
      </c>
      <c r="I443" s="107">
        <v>11</v>
      </c>
      <c r="K443" s="370">
        <v>1718</v>
      </c>
      <c r="L443" s="371" t="s">
        <v>3010</v>
      </c>
      <c r="M443" s="372" t="s">
        <v>2821</v>
      </c>
      <c r="N443" s="373"/>
    </row>
    <row r="444" spans="1:14" ht="12.75">
      <c r="A444">
        <v>437</v>
      </c>
      <c r="B444" s="557">
        <v>8801</v>
      </c>
      <c r="C444" t="s">
        <v>2806</v>
      </c>
      <c r="D444" s="107" t="s">
        <v>2439</v>
      </c>
      <c r="E444">
        <v>956</v>
      </c>
      <c r="F444" s="556">
        <v>200</v>
      </c>
      <c r="G444" s="541">
        <v>209.1</v>
      </c>
      <c r="H444" s="560">
        <v>0.02</v>
      </c>
      <c r="I444" s="107">
        <v>9</v>
      </c>
      <c r="K444" s="370">
        <v>1719</v>
      </c>
      <c r="L444" s="371" t="s">
        <v>3011</v>
      </c>
      <c r="M444" s="372" t="s">
        <v>2821</v>
      </c>
      <c r="N444" s="373"/>
    </row>
    <row r="445" spans="1:14" ht="12.75">
      <c r="A445">
        <v>438</v>
      </c>
      <c r="B445" s="557">
        <v>3293</v>
      </c>
      <c r="C445" t="s">
        <v>4769</v>
      </c>
      <c r="D445" s="107" t="s">
        <v>2439</v>
      </c>
      <c r="E445">
        <v>350</v>
      </c>
      <c r="F445" s="556">
        <v>199</v>
      </c>
      <c r="G445" s="541">
        <v>567.85</v>
      </c>
      <c r="H445" s="560">
        <v>0.02</v>
      </c>
      <c r="I445" s="107">
        <v>6</v>
      </c>
      <c r="K445" s="370">
        <v>1720</v>
      </c>
      <c r="L445" s="371" t="s">
        <v>3012</v>
      </c>
      <c r="M445" s="372" t="s">
        <v>2821</v>
      </c>
      <c r="N445" s="373"/>
    </row>
    <row r="446" spans="1:16" ht="12.75">
      <c r="A446">
        <v>439</v>
      </c>
      <c r="B446" s="557">
        <v>40183</v>
      </c>
      <c r="C446" t="s">
        <v>4770</v>
      </c>
      <c r="D446" s="107" t="s">
        <v>1772</v>
      </c>
      <c r="E446">
        <v>12740</v>
      </c>
      <c r="F446" s="556">
        <v>199</v>
      </c>
      <c r="G446" s="541">
        <v>15.59</v>
      </c>
      <c r="H446" s="560">
        <v>0.02</v>
      </c>
      <c r="I446" s="107">
        <v>1</v>
      </c>
      <c r="K446" s="370">
        <v>1726</v>
      </c>
      <c r="L446" s="371" t="s">
        <v>3013</v>
      </c>
      <c r="M446" s="372" t="s">
        <v>2821</v>
      </c>
      <c r="N446" s="373" t="s">
        <v>3014</v>
      </c>
      <c r="O446" s="374" t="s">
        <v>3015</v>
      </c>
      <c r="P446" s="374" t="s">
        <v>2821</v>
      </c>
    </row>
    <row r="447" spans="1:16" ht="12.75">
      <c r="A447">
        <v>440</v>
      </c>
      <c r="B447" s="557" t="s">
        <v>4124</v>
      </c>
      <c r="C447" t="s">
        <v>4771</v>
      </c>
      <c r="D447" s="107" t="s">
        <v>2441</v>
      </c>
      <c r="E447">
        <v>8</v>
      </c>
      <c r="F447" s="556">
        <v>196</v>
      </c>
      <c r="G447" s="541">
        <v>24537.63</v>
      </c>
      <c r="H447" s="560">
        <v>0.02</v>
      </c>
      <c r="I447" s="107">
        <v>8</v>
      </c>
      <c r="K447" s="370">
        <v>1727</v>
      </c>
      <c r="L447" s="371" t="s">
        <v>3016</v>
      </c>
      <c r="M447" s="372" t="s">
        <v>2821</v>
      </c>
      <c r="N447" s="373" t="s">
        <v>3017</v>
      </c>
      <c r="O447" s="374" t="s">
        <v>2351</v>
      </c>
      <c r="P447" s="374" t="s">
        <v>2821</v>
      </c>
    </row>
    <row r="448" spans="1:16" ht="12.75">
      <c r="A448">
        <v>441</v>
      </c>
      <c r="B448" s="557" t="s">
        <v>4772</v>
      </c>
      <c r="C448" t="s">
        <v>4773</v>
      </c>
      <c r="D448" s="107" t="s">
        <v>3416</v>
      </c>
      <c r="E448">
        <v>12930</v>
      </c>
      <c r="F448" s="556">
        <v>195</v>
      </c>
      <c r="G448" s="541">
        <v>15.1</v>
      </c>
      <c r="H448" s="560">
        <v>0.02</v>
      </c>
      <c r="I448" s="107">
        <v>2</v>
      </c>
      <c r="K448" s="370">
        <v>1728</v>
      </c>
      <c r="L448" s="371" t="s">
        <v>2352</v>
      </c>
      <c r="M448" s="372" t="s">
        <v>2821</v>
      </c>
      <c r="N448" s="373" t="s">
        <v>2353</v>
      </c>
      <c r="O448" s="374" t="s">
        <v>2354</v>
      </c>
      <c r="P448" s="374" t="s">
        <v>2821</v>
      </c>
    </row>
    <row r="449" spans="1:16" ht="12.75">
      <c r="A449">
        <v>442</v>
      </c>
      <c r="B449" s="557">
        <v>6455</v>
      </c>
      <c r="C449" t="s">
        <v>4774</v>
      </c>
      <c r="D449" s="107" t="s">
        <v>2522</v>
      </c>
      <c r="E449">
        <v>1</v>
      </c>
      <c r="F449" s="556">
        <v>195</v>
      </c>
      <c r="G449" s="541">
        <v>194597</v>
      </c>
      <c r="H449" s="560">
        <v>0.02</v>
      </c>
      <c r="I449" s="107">
        <v>1</v>
      </c>
      <c r="K449" s="370">
        <v>1729</v>
      </c>
      <c r="L449" s="371" t="s">
        <v>2355</v>
      </c>
      <c r="M449" s="372" t="s">
        <v>2821</v>
      </c>
      <c r="N449" s="373" t="s">
        <v>2356</v>
      </c>
      <c r="O449" s="374" t="s">
        <v>2357</v>
      </c>
      <c r="P449" s="374" t="s">
        <v>2821</v>
      </c>
    </row>
    <row r="450" spans="1:16" ht="12.75">
      <c r="A450">
        <v>443</v>
      </c>
      <c r="B450" s="557" t="s">
        <v>4082</v>
      </c>
      <c r="C450" t="s">
        <v>4775</v>
      </c>
      <c r="D450" s="107" t="s">
        <v>2439</v>
      </c>
      <c r="E450">
        <v>1697</v>
      </c>
      <c r="F450" s="556">
        <v>194</v>
      </c>
      <c r="G450" s="541">
        <v>114.56</v>
      </c>
      <c r="H450" s="560">
        <v>0.02</v>
      </c>
      <c r="I450" s="107">
        <v>7</v>
      </c>
      <c r="K450" s="370">
        <v>1740</v>
      </c>
      <c r="L450" s="371" t="s">
        <v>2358</v>
      </c>
      <c r="M450" s="372" t="s">
        <v>2821</v>
      </c>
      <c r="N450" s="373" t="s">
        <v>2359</v>
      </c>
      <c r="O450" s="374" t="s">
        <v>2360</v>
      </c>
      <c r="P450" s="374" t="s">
        <v>2821</v>
      </c>
    </row>
    <row r="451" spans="1:16" ht="12.75">
      <c r="A451">
        <v>444</v>
      </c>
      <c r="B451" s="557">
        <v>1204</v>
      </c>
      <c r="C451" t="s">
        <v>4776</v>
      </c>
      <c r="D451" s="107" t="s">
        <v>2522</v>
      </c>
      <c r="E451">
        <v>117</v>
      </c>
      <c r="F451" s="556">
        <v>194</v>
      </c>
      <c r="G451" s="541">
        <v>1659.83</v>
      </c>
      <c r="H451" s="560">
        <v>0.02</v>
      </c>
      <c r="I451" s="107">
        <v>25</v>
      </c>
      <c r="K451" s="370">
        <v>1741</v>
      </c>
      <c r="L451" s="371" t="s">
        <v>2361</v>
      </c>
      <c r="M451" s="372" t="s">
        <v>2821</v>
      </c>
      <c r="N451" s="373" t="s">
        <v>2362</v>
      </c>
      <c r="O451" s="374" t="s">
        <v>2363</v>
      </c>
      <c r="P451" s="374" t="s">
        <v>2821</v>
      </c>
    </row>
    <row r="452" spans="1:16" ht="12.75">
      <c r="A452">
        <v>445</v>
      </c>
      <c r="B452" s="557">
        <v>326</v>
      </c>
      <c r="C452" t="s">
        <v>4777</v>
      </c>
      <c r="D452" s="107" t="s">
        <v>1771</v>
      </c>
      <c r="E452">
        <v>1490</v>
      </c>
      <c r="F452" s="556">
        <v>194</v>
      </c>
      <c r="G452" s="541">
        <v>130</v>
      </c>
      <c r="H452" s="560">
        <v>0.02</v>
      </c>
      <c r="I452" s="107">
        <v>1</v>
      </c>
      <c r="K452" s="370">
        <v>1742</v>
      </c>
      <c r="L452" s="371" t="s">
        <v>2364</v>
      </c>
      <c r="M452" s="372" t="s">
        <v>2821</v>
      </c>
      <c r="N452" s="373" t="s">
        <v>2365</v>
      </c>
      <c r="O452" s="374" t="s">
        <v>2366</v>
      </c>
      <c r="P452" s="374" t="s">
        <v>2821</v>
      </c>
    </row>
    <row r="453" spans="1:14" ht="12.75">
      <c r="A453">
        <v>446</v>
      </c>
      <c r="B453" s="557" t="s">
        <v>4272</v>
      </c>
      <c r="C453" t="s">
        <v>4778</v>
      </c>
      <c r="D453" s="107" t="s">
        <v>2439</v>
      </c>
      <c r="E453">
        <v>133</v>
      </c>
      <c r="F453" s="556">
        <v>193</v>
      </c>
      <c r="G453" s="541">
        <v>1450</v>
      </c>
      <c r="H453" s="560">
        <v>0.02</v>
      </c>
      <c r="I453" s="107">
        <v>1</v>
      </c>
      <c r="K453" s="370">
        <v>1756</v>
      </c>
      <c r="L453" s="371" t="s">
        <v>2367</v>
      </c>
      <c r="M453" s="372" t="s">
        <v>2821</v>
      </c>
      <c r="N453" s="373"/>
    </row>
    <row r="454" spans="1:14" ht="12.75">
      <c r="A454">
        <v>447</v>
      </c>
      <c r="B454" s="557">
        <v>2220</v>
      </c>
      <c r="C454" t="s">
        <v>4779</v>
      </c>
      <c r="D454" s="107" t="s">
        <v>1773</v>
      </c>
      <c r="E454">
        <v>715</v>
      </c>
      <c r="F454" s="556">
        <v>192</v>
      </c>
      <c r="G454" s="541">
        <v>268.08</v>
      </c>
      <c r="H454" s="560">
        <v>0.02</v>
      </c>
      <c r="I454" s="107">
        <v>15</v>
      </c>
      <c r="K454" s="370">
        <v>1757</v>
      </c>
      <c r="L454" s="371" t="s">
        <v>2368</v>
      </c>
      <c r="M454" s="372" t="s">
        <v>2821</v>
      </c>
      <c r="N454" s="373"/>
    </row>
    <row r="455" spans="1:14" ht="12.75">
      <c r="A455">
        <v>448</v>
      </c>
      <c r="B455" s="557">
        <v>1453</v>
      </c>
      <c r="C455" t="s">
        <v>4780</v>
      </c>
      <c r="D455" s="107" t="s">
        <v>2522</v>
      </c>
      <c r="E455">
        <v>19</v>
      </c>
      <c r="F455" s="556">
        <v>191</v>
      </c>
      <c r="G455" s="541">
        <v>10028.1</v>
      </c>
      <c r="H455" s="560">
        <v>0.02</v>
      </c>
      <c r="I455" s="107">
        <v>9</v>
      </c>
      <c r="K455" s="370">
        <v>1761</v>
      </c>
      <c r="L455" s="371" t="s">
        <v>2369</v>
      </c>
      <c r="M455" s="372" t="s">
        <v>2821</v>
      </c>
      <c r="N455" s="373"/>
    </row>
    <row r="456" spans="1:14" ht="12.75">
      <c r="A456">
        <v>449</v>
      </c>
      <c r="B456" s="557">
        <v>4740</v>
      </c>
      <c r="C456" t="s">
        <v>4781</v>
      </c>
      <c r="D456" s="107" t="s">
        <v>2522</v>
      </c>
      <c r="E456">
        <v>127</v>
      </c>
      <c r="F456" s="556">
        <v>190</v>
      </c>
      <c r="G456" s="541">
        <v>1499.19</v>
      </c>
      <c r="H456" s="560">
        <v>0.02</v>
      </c>
      <c r="I456" s="107">
        <v>10</v>
      </c>
      <c r="K456" s="370">
        <v>1762</v>
      </c>
      <c r="L456" s="371" t="s">
        <v>2370</v>
      </c>
      <c r="M456" s="372" t="s">
        <v>2821</v>
      </c>
      <c r="N456" s="373"/>
    </row>
    <row r="457" spans="1:14" ht="12.75">
      <c r="A457">
        <v>450</v>
      </c>
      <c r="B457" s="557" t="s">
        <v>994</v>
      </c>
      <c r="C457" t="s">
        <v>4782</v>
      </c>
      <c r="D457" s="107" t="s">
        <v>2522</v>
      </c>
      <c r="E457">
        <v>270</v>
      </c>
      <c r="F457" s="556">
        <v>189</v>
      </c>
      <c r="G457" s="541">
        <v>700.08</v>
      </c>
      <c r="H457" s="560">
        <v>0.02</v>
      </c>
      <c r="I457" s="107">
        <v>21</v>
      </c>
      <c r="K457" s="370">
        <v>1767</v>
      </c>
      <c r="L457" s="371" t="s">
        <v>2371</v>
      </c>
      <c r="M457" s="372" t="s">
        <v>2821</v>
      </c>
      <c r="N457" s="373"/>
    </row>
    <row r="458" spans="1:14" ht="12.75">
      <c r="A458">
        <v>451</v>
      </c>
      <c r="B458" s="557">
        <v>1517</v>
      </c>
      <c r="C458" t="s">
        <v>4783</v>
      </c>
      <c r="D458" s="107" t="s">
        <v>2522</v>
      </c>
      <c r="E458">
        <v>29</v>
      </c>
      <c r="F458" s="556">
        <v>189</v>
      </c>
      <c r="G458" s="541">
        <v>6507.94</v>
      </c>
      <c r="H458" s="560">
        <v>0.02</v>
      </c>
      <c r="I458" s="107">
        <v>5</v>
      </c>
      <c r="K458" s="370">
        <v>1768</v>
      </c>
      <c r="L458" s="371" t="s">
        <v>2372</v>
      </c>
      <c r="M458" s="372" t="s">
        <v>2821</v>
      </c>
      <c r="N458" s="373"/>
    </row>
    <row r="459" spans="1:14" ht="12.75">
      <c r="A459">
        <v>452</v>
      </c>
      <c r="B459" s="557">
        <v>14016</v>
      </c>
      <c r="C459" t="s">
        <v>4784</v>
      </c>
      <c r="D459" s="107" t="s">
        <v>2439</v>
      </c>
      <c r="E459">
        <v>623</v>
      </c>
      <c r="F459" s="556">
        <v>188</v>
      </c>
      <c r="G459" s="541">
        <v>302.26</v>
      </c>
      <c r="H459" s="560">
        <v>0.02</v>
      </c>
      <c r="I459" s="107">
        <v>2</v>
      </c>
      <c r="K459" s="370">
        <v>1770</v>
      </c>
      <c r="L459" s="371" t="s">
        <v>2373</v>
      </c>
      <c r="M459" s="372" t="s">
        <v>2821</v>
      </c>
      <c r="N459" s="373"/>
    </row>
    <row r="460" spans="1:14" ht="12.75">
      <c r="A460">
        <v>453</v>
      </c>
      <c r="B460" s="557">
        <v>4797</v>
      </c>
      <c r="C460" t="s">
        <v>4785</v>
      </c>
      <c r="D460" s="107" t="s">
        <v>2439</v>
      </c>
      <c r="E460">
        <v>4753</v>
      </c>
      <c r="F460" s="556">
        <v>188</v>
      </c>
      <c r="G460" s="541">
        <v>39.52</v>
      </c>
      <c r="H460" s="560">
        <v>0.02</v>
      </c>
      <c r="I460" s="107">
        <v>6</v>
      </c>
      <c r="K460" s="370">
        <v>1781</v>
      </c>
      <c r="L460" s="371" t="s">
        <v>2374</v>
      </c>
      <c r="M460" s="372" t="s">
        <v>2821</v>
      </c>
      <c r="N460" s="373"/>
    </row>
    <row r="461" spans="1:14" ht="12.75">
      <c r="A461">
        <v>454</v>
      </c>
      <c r="B461" s="557" t="s">
        <v>3424</v>
      </c>
      <c r="C461" t="s">
        <v>4786</v>
      </c>
      <c r="D461" s="107" t="s">
        <v>2439</v>
      </c>
      <c r="E461">
        <v>60408</v>
      </c>
      <c r="F461" s="556">
        <v>186</v>
      </c>
      <c r="G461" s="541">
        <v>3.09</v>
      </c>
      <c r="H461" s="560">
        <v>0.02</v>
      </c>
      <c r="I461" s="107">
        <v>22</v>
      </c>
      <c r="K461" s="370">
        <v>1782</v>
      </c>
      <c r="L461" s="371" t="s">
        <v>2375</v>
      </c>
      <c r="M461" s="372" t="s">
        <v>2821</v>
      </c>
      <c r="N461" s="373"/>
    </row>
    <row r="462" spans="1:14" ht="12.75">
      <c r="A462">
        <v>455</v>
      </c>
      <c r="B462" s="557" t="s">
        <v>3422</v>
      </c>
      <c r="C462" t="s">
        <v>4787</v>
      </c>
      <c r="D462" s="107" t="s">
        <v>2439</v>
      </c>
      <c r="E462">
        <v>1175855</v>
      </c>
      <c r="F462" s="556">
        <v>186</v>
      </c>
      <c r="G462" s="541">
        <v>0.16</v>
      </c>
      <c r="H462" s="560">
        <v>0.02</v>
      </c>
      <c r="I462" s="107">
        <v>13</v>
      </c>
      <c r="K462" s="370">
        <v>1786</v>
      </c>
      <c r="L462" s="371" t="s">
        <v>2376</v>
      </c>
      <c r="M462" s="372" t="s">
        <v>2821</v>
      </c>
      <c r="N462" s="373"/>
    </row>
    <row r="463" spans="1:14" ht="12.75">
      <c r="A463">
        <v>456</v>
      </c>
      <c r="B463" s="557" t="s">
        <v>4788</v>
      </c>
      <c r="C463" t="s">
        <v>4789</v>
      </c>
      <c r="D463" s="107" t="s">
        <v>2522</v>
      </c>
      <c r="E463">
        <v>9</v>
      </c>
      <c r="F463" s="556">
        <v>185</v>
      </c>
      <c r="G463" s="541">
        <v>20600</v>
      </c>
      <c r="H463" s="560">
        <v>0.02</v>
      </c>
      <c r="I463" s="107">
        <v>1</v>
      </c>
      <c r="K463" s="370">
        <v>1787</v>
      </c>
      <c r="L463" s="371" t="s">
        <v>2377</v>
      </c>
      <c r="M463" s="372" t="s">
        <v>2821</v>
      </c>
      <c r="N463" s="373"/>
    </row>
    <row r="464" spans="1:14" ht="12.75">
      <c r="A464">
        <v>457</v>
      </c>
      <c r="B464" s="557">
        <v>2073</v>
      </c>
      <c r="C464" t="s">
        <v>4790</v>
      </c>
      <c r="D464" s="107" t="s">
        <v>1772</v>
      </c>
      <c r="E464">
        <v>1682</v>
      </c>
      <c r="F464" s="556">
        <v>185</v>
      </c>
      <c r="G464" s="541">
        <v>109.93</v>
      </c>
      <c r="H464" s="560">
        <v>0.02</v>
      </c>
      <c r="I464" s="107">
        <v>2</v>
      </c>
      <c r="K464" s="370">
        <v>1789</v>
      </c>
      <c r="L464" s="371" t="s">
        <v>2378</v>
      </c>
      <c r="M464" s="372" t="s">
        <v>2821</v>
      </c>
      <c r="N464" s="373"/>
    </row>
    <row r="465" spans="1:14" ht="12.75">
      <c r="A465">
        <v>458</v>
      </c>
      <c r="B465" s="557">
        <v>3271</v>
      </c>
      <c r="C465" t="s">
        <v>4791</v>
      </c>
      <c r="D465" s="107" t="s">
        <v>2439</v>
      </c>
      <c r="E465">
        <v>13820</v>
      </c>
      <c r="F465" s="556">
        <v>181</v>
      </c>
      <c r="G465" s="541">
        <v>13.12</v>
      </c>
      <c r="H465" s="560">
        <v>0.02</v>
      </c>
      <c r="I465" s="107">
        <v>5</v>
      </c>
      <c r="K465" s="370">
        <v>1791</v>
      </c>
      <c r="L465" s="371" t="s">
        <v>2379</v>
      </c>
      <c r="M465" s="372" t="s">
        <v>2821</v>
      </c>
      <c r="N465" s="373"/>
    </row>
    <row r="466" spans="1:14" ht="12.75">
      <c r="A466">
        <v>459</v>
      </c>
      <c r="B466" s="557">
        <v>1208</v>
      </c>
      <c r="C466" t="s">
        <v>4792</v>
      </c>
      <c r="D466" s="107" t="s">
        <v>2522</v>
      </c>
      <c r="E466">
        <v>85</v>
      </c>
      <c r="F466" s="556">
        <v>181</v>
      </c>
      <c r="G466" s="541">
        <v>2131.88</v>
      </c>
      <c r="H466" s="560">
        <v>0.02</v>
      </c>
      <c r="I466" s="107">
        <v>22</v>
      </c>
      <c r="K466" s="370">
        <v>1792</v>
      </c>
      <c r="L466" s="371" t="s">
        <v>2380</v>
      </c>
      <c r="M466" s="372" t="s">
        <v>2821</v>
      </c>
      <c r="N466" s="373"/>
    </row>
    <row r="467" spans="1:14" ht="12.75">
      <c r="A467">
        <v>460</v>
      </c>
      <c r="B467" s="557">
        <v>14074</v>
      </c>
      <c r="C467" t="s">
        <v>4793</v>
      </c>
      <c r="D467" s="107" t="s">
        <v>2522</v>
      </c>
      <c r="E467">
        <v>40</v>
      </c>
      <c r="F467" s="556">
        <v>181</v>
      </c>
      <c r="G467" s="541">
        <v>4513.08</v>
      </c>
      <c r="H467" s="560">
        <v>0.02</v>
      </c>
      <c r="I467" s="107">
        <v>9</v>
      </c>
      <c r="K467" s="370">
        <v>1799</v>
      </c>
      <c r="L467" s="371" t="s">
        <v>2381</v>
      </c>
      <c r="M467" s="372" t="s">
        <v>2821</v>
      </c>
      <c r="N467" s="373"/>
    </row>
    <row r="468" spans="1:16" ht="12.75">
      <c r="A468">
        <v>461</v>
      </c>
      <c r="B468" s="557" t="s">
        <v>4007</v>
      </c>
      <c r="C468" t="s">
        <v>4794</v>
      </c>
      <c r="D468" s="107" t="s">
        <v>2522</v>
      </c>
      <c r="E468">
        <v>50</v>
      </c>
      <c r="F468" s="556">
        <v>180</v>
      </c>
      <c r="G468" s="541">
        <v>3606.8</v>
      </c>
      <c r="H468" s="560">
        <v>0.02</v>
      </c>
      <c r="I468" s="107">
        <v>11</v>
      </c>
      <c r="K468" s="370">
        <v>1810</v>
      </c>
      <c r="L468" s="371" t="s">
        <v>2382</v>
      </c>
      <c r="M468" s="372" t="s">
        <v>751</v>
      </c>
      <c r="N468" s="373" t="s">
        <v>1321</v>
      </c>
      <c r="O468" s="374" t="s">
        <v>2382</v>
      </c>
      <c r="P468" s="374" t="s">
        <v>754</v>
      </c>
    </row>
    <row r="469" spans="1:16" ht="12.75">
      <c r="A469">
        <v>462</v>
      </c>
      <c r="B469" s="557">
        <v>2355</v>
      </c>
      <c r="C469" t="s">
        <v>4795</v>
      </c>
      <c r="D469" s="107" t="s">
        <v>2439</v>
      </c>
      <c r="E469">
        <v>2761</v>
      </c>
      <c r="F469" s="556">
        <v>179</v>
      </c>
      <c r="G469" s="541">
        <v>64.68</v>
      </c>
      <c r="H469" s="560">
        <v>0.01</v>
      </c>
      <c r="I469" s="107">
        <v>19</v>
      </c>
      <c r="K469" s="370">
        <v>1811</v>
      </c>
      <c r="L469" s="371" t="s">
        <v>1322</v>
      </c>
      <c r="M469" s="372" t="s">
        <v>751</v>
      </c>
      <c r="N469" s="373" t="s">
        <v>1323</v>
      </c>
      <c r="O469" s="374" t="s">
        <v>1322</v>
      </c>
      <c r="P469" s="374" t="s">
        <v>754</v>
      </c>
    </row>
    <row r="470" spans="1:16" ht="12.75">
      <c r="A470">
        <v>463</v>
      </c>
      <c r="B470" s="557">
        <v>14125</v>
      </c>
      <c r="C470" t="s">
        <v>4796</v>
      </c>
      <c r="D470" s="107" t="s">
        <v>2522</v>
      </c>
      <c r="E470">
        <v>2</v>
      </c>
      <c r="F470" s="556">
        <v>178</v>
      </c>
      <c r="G470" s="541">
        <v>88967.5</v>
      </c>
      <c r="H470" s="560">
        <v>0.01</v>
      </c>
      <c r="I470" s="107">
        <v>2</v>
      </c>
      <c r="K470" s="370">
        <v>1812</v>
      </c>
      <c r="L470" s="371" t="s">
        <v>1324</v>
      </c>
      <c r="M470" s="372" t="s">
        <v>751</v>
      </c>
      <c r="N470" s="373" t="s">
        <v>1325</v>
      </c>
      <c r="O470" s="374" t="s">
        <v>1324</v>
      </c>
      <c r="P470" s="374" t="s">
        <v>754</v>
      </c>
    </row>
    <row r="471" spans="1:16" ht="12.75">
      <c r="A471">
        <v>464</v>
      </c>
      <c r="B471" s="557">
        <v>1650</v>
      </c>
      <c r="C471" t="s">
        <v>4797</v>
      </c>
      <c r="D471" s="107" t="s">
        <v>2522</v>
      </c>
      <c r="E471">
        <v>47</v>
      </c>
      <c r="F471" s="556">
        <v>177</v>
      </c>
      <c r="G471" s="541">
        <v>3770.06</v>
      </c>
      <c r="H471" s="560">
        <v>0.01</v>
      </c>
      <c r="I471" s="107">
        <v>10</v>
      </c>
      <c r="K471" s="370">
        <v>1815</v>
      </c>
      <c r="L471" s="371" t="s">
        <v>1326</v>
      </c>
      <c r="M471" s="372" t="s">
        <v>751</v>
      </c>
      <c r="N471" s="373" t="s">
        <v>1327</v>
      </c>
      <c r="O471" s="374" t="s">
        <v>1326</v>
      </c>
      <c r="P471" s="374" t="s">
        <v>754</v>
      </c>
    </row>
    <row r="472" spans="1:16" ht="12.75">
      <c r="A472">
        <v>465</v>
      </c>
      <c r="B472" s="557">
        <v>4940</v>
      </c>
      <c r="C472" t="s">
        <v>4798</v>
      </c>
      <c r="D472" s="107" t="s">
        <v>2441</v>
      </c>
      <c r="E472" s="540">
        <v>10</v>
      </c>
      <c r="F472" s="556">
        <v>177</v>
      </c>
      <c r="G472" s="541">
        <v>17663.12</v>
      </c>
      <c r="H472" s="560">
        <v>0.01</v>
      </c>
      <c r="I472" s="107">
        <v>10</v>
      </c>
      <c r="K472" s="370">
        <v>1820</v>
      </c>
      <c r="L472" s="371" t="s">
        <v>1328</v>
      </c>
      <c r="M472" s="372" t="s">
        <v>751</v>
      </c>
      <c r="N472" s="373" t="s">
        <v>1329</v>
      </c>
      <c r="O472" s="374" t="s">
        <v>1328</v>
      </c>
      <c r="P472" s="374" t="s">
        <v>754</v>
      </c>
    </row>
    <row r="473" spans="1:16" ht="12.75">
      <c r="A473">
        <v>466</v>
      </c>
      <c r="B473" s="557">
        <v>8901</v>
      </c>
      <c r="C473" t="s">
        <v>4799</v>
      </c>
      <c r="D473" s="107" t="s">
        <v>2522</v>
      </c>
      <c r="E473" s="540">
        <v>29</v>
      </c>
      <c r="F473" s="556">
        <v>176</v>
      </c>
      <c r="G473" s="541">
        <v>6058.65</v>
      </c>
      <c r="H473" s="560">
        <v>0.01</v>
      </c>
      <c r="I473" s="107">
        <v>9</v>
      </c>
      <c r="K473" s="370">
        <v>1821</v>
      </c>
      <c r="L473" s="371" t="s">
        <v>1330</v>
      </c>
      <c r="M473" s="372" t="s">
        <v>751</v>
      </c>
      <c r="N473" s="373" t="s">
        <v>1331</v>
      </c>
      <c r="O473" s="374" t="s">
        <v>1330</v>
      </c>
      <c r="P473" s="374" t="s">
        <v>754</v>
      </c>
    </row>
    <row r="474" spans="1:16" ht="12.75">
      <c r="A474">
        <v>467</v>
      </c>
      <c r="B474" s="557" t="s">
        <v>4064</v>
      </c>
      <c r="C474" t="s">
        <v>4800</v>
      </c>
      <c r="D474" s="107" t="s">
        <v>1773</v>
      </c>
      <c r="E474" s="540">
        <v>2246</v>
      </c>
      <c r="F474" s="556">
        <v>176</v>
      </c>
      <c r="G474" s="541">
        <v>78.15</v>
      </c>
      <c r="H474" s="560">
        <v>0.01</v>
      </c>
      <c r="I474" s="107">
        <v>1</v>
      </c>
      <c r="K474" s="370">
        <v>1825</v>
      </c>
      <c r="L474" s="371" t="s">
        <v>1332</v>
      </c>
      <c r="M474" s="372" t="s">
        <v>751</v>
      </c>
      <c r="N474" s="373" t="s">
        <v>1333</v>
      </c>
      <c r="O474" s="374" t="s">
        <v>1332</v>
      </c>
      <c r="P474" s="374" t="s">
        <v>754</v>
      </c>
    </row>
    <row r="475" spans="1:16" ht="12.75">
      <c r="A475">
        <v>468</v>
      </c>
      <c r="B475" s="557">
        <v>1450</v>
      </c>
      <c r="C475" t="s">
        <v>4801</v>
      </c>
      <c r="D475" s="107" t="s">
        <v>2522</v>
      </c>
      <c r="E475" s="540">
        <v>56</v>
      </c>
      <c r="F475" s="556">
        <v>173</v>
      </c>
      <c r="G475" s="541">
        <v>3089.29</v>
      </c>
      <c r="H475" s="560">
        <v>0.01</v>
      </c>
      <c r="I475" s="107">
        <v>11</v>
      </c>
      <c r="K475" s="370">
        <v>1830</v>
      </c>
      <c r="L475" s="371" t="s">
        <v>1334</v>
      </c>
      <c r="M475" s="372" t="s">
        <v>751</v>
      </c>
      <c r="N475" s="373" t="s">
        <v>1335</v>
      </c>
      <c r="O475" s="374" t="s">
        <v>1334</v>
      </c>
      <c r="P475" s="374" t="s">
        <v>754</v>
      </c>
    </row>
    <row r="476" spans="1:16" ht="12.75">
      <c r="A476">
        <v>469</v>
      </c>
      <c r="B476" s="557" t="s">
        <v>4001</v>
      </c>
      <c r="C476" t="s">
        <v>4002</v>
      </c>
      <c r="D476" s="107" t="s">
        <v>2441</v>
      </c>
      <c r="E476" s="540">
        <v>1</v>
      </c>
      <c r="F476" s="556">
        <v>173</v>
      </c>
      <c r="G476" s="541">
        <v>173000</v>
      </c>
      <c r="H476" s="560">
        <v>0.01</v>
      </c>
      <c r="I476" s="107">
        <v>1</v>
      </c>
      <c r="K476" s="370">
        <v>1831</v>
      </c>
      <c r="L476" s="371" t="s">
        <v>1336</v>
      </c>
      <c r="M476" s="372" t="s">
        <v>751</v>
      </c>
      <c r="N476" s="373" t="s">
        <v>1337</v>
      </c>
      <c r="O476" s="374" t="s">
        <v>1336</v>
      </c>
      <c r="P476" s="374" t="s">
        <v>754</v>
      </c>
    </row>
    <row r="477" spans="1:16" ht="12.75">
      <c r="A477">
        <v>470</v>
      </c>
      <c r="B477" s="557" t="s">
        <v>4287</v>
      </c>
      <c r="C477" t="s">
        <v>4802</v>
      </c>
      <c r="D477" s="107" t="s">
        <v>2439</v>
      </c>
      <c r="E477" s="540">
        <v>1304</v>
      </c>
      <c r="F477" s="556">
        <v>170</v>
      </c>
      <c r="G477" s="541">
        <v>130</v>
      </c>
      <c r="H477" s="560">
        <v>0.01</v>
      </c>
      <c r="I477" s="107">
        <v>1</v>
      </c>
      <c r="K477" s="370">
        <v>1840</v>
      </c>
      <c r="L477" s="371" t="s">
        <v>1338</v>
      </c>
      <c r="M477" s="372" t="s">
        <v>751</v>
      </c>
      <c r="N477" s="373" t="s">
        <v>1339</v>
      </c>
      <c r="O477" s="374" t="s">
        <v>1338</v>
      </c>
      <c r="P477" s="374" t="s">
        <v>754</v>
      </c>
    </row>
    <row r="478" spans="1:16" ht="12.75">
      <c r="A478">
        <v>471</v>
      </c>
      <c r="B478" s="557" t="s">
        <v>4297</v>
      </c>
      <c r="C478" t="s">
        <v>4803</v>
      </c>
      <c r="D478" s="107" t="s">
        <v>1772</v>
      </c>
      <c r="E478" s="540">
        <v>894</v>
      </c>
      <c r="F478" s="556">
        <v>168</v>
      </c>
      <c r="G478" s="541">
        <v>188.13</v>
      </c>
      <c r="H478" s="560">
        <v>0.01</v>
      </c>
      <c r="I478" s="107">
        <v>1</v>
      </c>
      <c r="K478" s="370">
        <v>1841</v>
      </c>
      <c r="L478" s="371" t="s">
        <v>1340</v>
      </c>
      <c r="M478" s="372" t="s">
        <v>751</v>
      </c>
      <c r="N478" s="373" t="s">
        <v>1341</v>
      </c>
      <c r="O478" s="374" t="s">
        <v>1340</v>
      </c>
      <c r="P478" s="374" t="s">
        <v>754</v>
      </c>
    </row>
    <row r="479" spans="1:16" ht="12.75">
      <c r="A479">
        <v>472</v>
      </c>
      <c r="B479" s="557">
        <v>1945</v>
      </c>
      <c r="C479" t="s">
        <v>4804</v>
      </c>
      <c r="D479" s="107" t="s">
        <v>1772</v>
      </c>
      <c r="E479" s="540">
        <v>1287</v>
      </c>
      <c r="F479" s="556">
        <v>168</v>
      </c>
      <c r="G479" s="541">
        <v>130.54</v>
      </c>
      <c r="H479" s="560">
        <v>0.01</v>
      </c>
      <c r="I479" s="107">
        <v>2</v>
      </c>
      <c r="K479" s="370">
        <v>1845</v>
      </c>
      <c r="L479" s="371" t="s">
        <v>1342</v>
      </c>
      <c r="M479" s="372" t="s">
        <v>751</v>
      </c>
      <c r="N479" s="373" t="s">
        <v>1343</v>
      </c>
      <c r="O479" s="374" t="s">
        <v>1342</v>
      </c>
      <c r="P479" s="374" t="s">
        <v>754</v>
      </c>
    </row>
    <row r="480" spans="1:16" ht="12.75">
      <c r="A480">
        <v>473</v>
      </c>
      <c r="B480" s="557" t="s">
        <v>4263</v>
      </c>
      <c r="C480" t="s">
        <v>4264</v>
      </c>
      <c r="D480" s="107" t="s">
        <v>2522</v>
      </c>
      <c r="E480" s="540">
        <v>54</v>
      </c>
      <c r="F480" s="556">
        <v>168</v>
      </c>
      <c r="G480" s="541">
        <v>3101.85</v>
      </c>
      <c r="H480" s="560">
        <v>0.01</v>
      </c>
      <c r="I480" s="107">
        <v>4</v>
      </c>
      <c r="K480" s="370">
        <v>1847</v>
      </c>
      <c r="L480" s="371" t="s">
        <v>1344</v>
      </c>
      <c r="M480" s="372" t="s">
        <v>751</v>
      </c>
      <c r="N480" s="373" t="s">
        <v>1345</v>
      </c>
      <c r="O480" s="374" t="s">
        <v>1344</v>
      </c>
      <c r="P480" s="374" t="s">
        <v>754</v>
      </c>
    </row>
    <row r="481" spans="1:16" ht="12.75">
      <c r="A481">
        <v>474</v>
      </c>
      <c r="B481" s="557">
        <v>40030</v>
      </c>
      <c r="C481" t="s">
        <v>4805</v>
      </c>
      <c r="D481" s="107" t="s">
        <v>2439</v>
      </c>
      <c r="E481" s="540">
        <v>84914</v>
      </c>
      <c r="F481" s="556">
        <v>166</v>
      </c>
      <c r="G481" s="541">
        <v>1.95</v>
      </c>
      <c r="H481" s="560">
        <v>0.01</v>
      </c>
      <c r="I481" s="107">
        <v>6</v>
      </c>
      <c r="K481" s="370">
        <v>1875</v>
      </c>
      <c r="L481" s="371" t="s">
        <v>1346</v>
      </c>
      <c r="M481" s="372" t="s">
        <v>751</v>
      </c>
      <c r="N481" s="373" t="s">
        <v>1347</v>
      </c>
      <c r="O481" s="374" t="s">
        <v>1346</v>
      </c>
      <c r="P481" s="374" t="s">
        <v>754</v>
      </c>
    </row>
    <row r="482" spans="1:16" ht="12.75">
      <c r="A482">
        <v>475</v>
      </c>
      <c r="B482" s="557">
        <v>14095</v>
      </c>
      <c r="C482" t="s">
        <v>4806</v>
      </c>
      <c r="D482" s="107" t="s">
        <v>2522</v>
      </c>
      <c r="E482" s="540">
        <v>29</v>
      </c>
      <c r="F482" s="556">
        <v>165</v>
      </c>
      <c r="G482" s="541">
        <v>5693.55</v>
      </c>
      <c r="H482" s="560">
        <v>0.01</v>
      </c>
      <c r="I482" s="107">
        <v>8</v>
      </c>
      <c r="K482" s="370">
        <v>1876</v>
      </c>
      <c r="L482" s="371" t="s">
        <v>1348</v>
      </c>
      <c r="M482" s="372" t="s">
        <v>751</v>
      </c>
      <c r="N482" s="373" t="s">
        <v>1349</v>
      </c>
      <c r="O482" s="374" t="s">
        <v>1348</v>
      </c>
      <c r="P482" s="374" t="s">
        <v>754</v>
      </c>
    </row>
    <row r="483" spans="1:16" ht="12.75">
      <c r="A483">
        <v>476</v>
      </c>
      <c r="B483" s="557">
        <v>15113</v>
      </c>
      <c r="C483" t="s">
        <v>4807</v>
      </c>
      <c r="D483" s="107" t="s">
        <v>2439</v>
      </c>
      <c r="E483" s="540">
        <v>525</v>
      </c>
      <c r="F483" s="556">
        <v>165</v>
      </c>
      <c r="G483" s="541">
        <v>314</v>
      </c>
      <c r="H483" s="560">
        <v>0.01</v>
      </c>
      <c r="I483" s="107">
        <v>2</v>
      </c>
      <c r="K483" s="370">
        <v>1877</v>
      </c>
      <c r="L483" s="371" t="s">
        <v>1350</v>
      </c>
      <c r="M483" s="372" t="s">
        <v>751</v>
      </c>
      <c r="N483" s="373" t="s">
        <v>1351</v>
      </c>
      <c r="O483" s="374" t="s">
        <v>1350</v>
      </c>
      <c r="P483" s="374" t="s">
        <v>754</v>
      </c>
    </row>
    <row r="484" spans="1:16" ht="12.75">
      <c r="A484">
        <v>477</v>
      </c>
      <c r="B484" s="557">
        <v>501</v>
      </c>
      <c r="C484" t="s">
        <v>4808</v>
      </c>
      <c r="D484" s="107" t="s">
        <v>2439</v>
      </c>
      <c r="E484" s="540">
        <v>298</v>
      </c>
      <c r="F484" s="556">
        <v>164</v>
      </c>
      <c r="G484" s="541">
        <v>552</v>
      </c>
      <c r="H484" s="560">
        <v>0.01</v>
      </c>
      <c r="I484" s="107">
        <v>1</v>
      </c>
      <c r="K484" s="370">
        <v>1880</v>
      </c>
      <c r="L484" s="371" t="s">
        <v>1352</v>
      </c>
      <c r="M484" s="372" t="s">
        <v>751</v>
      </c>
      <c r="N484" s="373" t="s">
        <v>1353</v>
      </c>
      <c r="O484" s="374" t="s">
        <v>1352</v>
      </c>
      <c r="P484" s="374" t="s">
        <v>754</v>
      </c>
    </row>
    <row r="485" spans="1:16" ht="12.75">
      <c r="A485">
        <v>478</v>
      </c>
      <c r="B485" s="557" t="s">
        <v>4809</v>
      </c>
      <c r="C485" t="s">
        <v>4810</v>
      </c>
      <c r="D485" s="107" t="s">
        <v>2439</v>
      </c>
      <c r="E485" s="540">
        <v>814</v>
      </c>
      <c r="F485" s="556">
        <v>164</v>
      </c>
      <c r="G485" s="541">
        <v>202</v>
      </c>
      <c r="H485" s="560">
        <v>0.01</v>
      </c>
      <c r="I485" s="107">
        <v>1</v>
      </c>
      <c r="K485" s="370">
        <v>1885</v>
      </c>
      <c r="L485" s="371" t="s">
        <v>1354</v>
      </c>
      <c r="M485" s="372" t="s">
        <v>751</v>
      </c>
      <c r="N485" s="373" t="s">
        <v>1355</v>
      </c>
      <c r="O485" s="374" t="s">
        <v>1354</v>
      </c>
      <c r="P485" s="374" t="s">
        <v>754</v>
      </c>
    </row>
    <row r="486" spans="1:16" ht="12.75">
      <c r="A486">
        <v>479</v>
      </c>
      <c r="B486" s="557">
        <v>14030</v>
      </c>
      <c r="C486" t="s">
        <v>4811</v>
      </c>
      <c r="D486" s="107" t="s">
        <v>2522</v>
      </c>
      <c r="E486" s="540">
        <v>113</v>
      </c>
      <c r="F486" s="556">
        <v>162</v>
      </c>
      <c r="G486" s="541">
        <v>1434.18</v>
      </c>
      <c r="H486" s="560">
        <v>0.01</v>
      </c>
      <c r="I486" s="107">
        <v>7</v>
      </c>
      <c r="K486" s="370">
        <v>1890</v>
      </c>
      <c r="L486" s="371" t="s">
        <v>3492</v>
      </c>
      <c r="M486" s="372" t="s">
        <v>751</v>
      </c>
      <c r="N486" s="373" t="s">
        <v>3493</v>
      </c>
      <c r="O486" s="374" t="s">
        <v>3492</v>
      </c>
      <c r="P486" s="374" t="s">
        <v>754</v>
      </c>
    </row>
    <row r="487" spans="1:16" ht="12.75">
      <c r="A487">
        <v>480</v>
      </c>
      <c r="B487" s="557" t="s">
        <v>4258</v>
      </c>
      <c r="C487" t="s">
        <v>4259</v>
      </c>
      <c r="D487" s="107" t="s">
        <v>4236</v>
      </c>
      <c r="E487" s="540">
        <v>870</v>
      </c>
      <c r="F487" s="556">
        <v>162</v>
      </c>
      <c r="G487" s="541">
        <v>185.71</v>
      </c>
      <c r="H487" s="560">
        <v>0.01</v>
      </c>
      <c r="I487" s="107">
        <v>19</v>
      </c>
      <c r="K487" s="370">
        <v>1891</v>
      </c>
      <c r="L487" s="371" t="s">
        <v>3494</v>
      </c>
      <c r="M487" s="372" t="s">
        <v>751</v>
      </c>
      <c r="N487" s="373" t="s">
        <v>3495</v>
      </c>
      <c r="O487" s="374" t="s">
        <v>3494</v>
      </c>
      <c r="P487" s="374" t="s">
        <v>754</v>
      </c>
    </row>
    <row r="488" spans="1:16" ht="12.75">
      <c r="A488">
        <v>481</v>
      </c>
      <c r="B488" s="557">
        <v>1496</v>
      </c>
      <c r="C488" t="s">
        <v>4812</v>
      </c>
      <c r="D488" s="107" t="s">
        <v>2522</v>
      </c>
      <c r="E488" s="540">
        <v>20</v>
      </c>
      <c r="F488" s="556">
        <v>157</v>
      </c>
      <c r="G488" s="541">
        <v>7853.75</v>
      </c>
      <c r="H488" s="560">
        <v>0.01</v>
      </c>
      <c r="I488" s="107">
        <v>8</v>
      </c>
      <c r="K488" s="370">
        <v>1895</v>
      </c>
      <c r="L488" s="371" t="s">
        <v>3496</v>
      </c>
      <c r="M488" s="372" t="s">
        <v>751</v>
      </c>
      <c r="N488" s="373" t="s">
        <v>3497</v>
      </c>
      <c r="O488" s="374" t="s">
        <v>3496</v>
      </c>
      <c r="P488" s="374" t="s">
        <v>754</v>
      </c>
    </row>
    <row r="489" spans="1:16" ht="12.75">
      <c r="A489">
        <v>482</v>
      </c>
      <c r="B489" s="557">
        <v>1210</v>
      </c>
      <c r="C489" t="s">
        <v>4813</v>
      </c>
      <c r="D489" s="107" t="s">
        <v>2522</v>
      </c>
      <c r="E489" s="540">
        <v>58</v>
      </c>
      <c r="F489" s="556">
        <v>157</v>
      </c>
      <c r="G489" s="541">
        <v>2706.63</v>
      </c>
      <c r="H489" s="560">
        <v>0.01</v>
      </c>
      <c r="I489" s="107">
        <v>18</v>
      </c>
      <c r="K489" s="370">
        <v>1897</v>
      </c>
      <c r="L489" s="371" t="s">
        <v>3498</v>
      </c>
      <c r="M489" s="372" t="s">
        <v>751</v>
      </c>
      <c r="N489" s="373" t="s">
        <v>3499</v>
      </c>
      <c r="O489" s="374" t="s">
        <v>3498</v>
      </c>
      <c r="P489" s="374" t="s">
        <v>754</v>
      </c>
    </row>
    <row r="490" spans="1:16" ht="12.75">
      <c r="A490">
        <v>483</v>
      </c>
      <c r="B490" s="557" t="s">
        <v>4238</v>
      </c>
      <c r="C490" t="s">
        <v>4814</v>
      </c>
      <c r="D490" s="107" t="s">
        <v>2439</v>
      </c>
      <c r="E490" s="540">
        <v>50</v>
      </c>
      <c r="F490" s="556">
        <v>157</v>
      </c>
      <c r="G490" s="541">
        <v>3150</v>
      </c>
      <c r="H490" s="560">
        <v>0.01</v>
      </c>
      <c r="I490" s="107">
        <v>1</v>
      </c>
      <c r="K490" s="370">
        <v>1902</v>
      </c>
      <c r="L490" s="371" t="s">
        <v>3500</v>
      </c>
      <c r="M490" s="372" t="s">
        <v>751</v>
      </c>
      <c r="N490" s="373" t="s">
        <v>3501</v>
      </c>
      <c r="O490" s="374" t="s">
        <v>3500</v>
      </c>
      <c r="P490" s="374" t="s">
        <v>754</v>
      </c>
    </row>
    <row r="491" spans="1:16" ht="12.75">
      <c r="A491">
        <v>484</v>
      </c>
      <c r="B491" s="557">
        <v>1726</v>
      </c>
      <c r="C491" t="s">
        <v>4815</v>
      </c>
      <c r="D491" s="107" t="s">
        <v>2522</v>
      </c>
      <c r="E491" s="540">
        <v>27</v>
      </c>
      <c r="F491" s="556">
        <v>156</v>
      </c>
      <c r="G491" s="541">
        <v>5764.07</v>
      </c>
      <c r="H491" s="560">
        <v>0.01</v>
      </c>
      <c r="I491" s="107">
        <v>9</v>
      </c>
      <c r="K491" s="370">
        <v>1903</v>
      </c>
      <c r="L491" s="371" t="s">
        <v>3502</v>
      </c>
      <c r="M491" s="372" t="s">
        <v>751</v>
      </c>
      <c r="N491" s="373" t="s">
        <v>3503</v>
      </c>
      <c r="O491" s="374" t="s">
        <v>3502</v>
      </c>
      <c r="P491" s="374" t="s">
        <v>754</v>
      </c>
    </row>
    <row r="492" spans="1:16" ht="12.75">
      <c r="A492">
        <v>485</v>
      </c>
      <c r="B492" s="557" t="s">
        <v>4194</v>
      </c>
      <c r="C492" t="s">
        <v>4816</v>
      </c>
      <c r="D492" s="107" t="s">
        <v>2439</v>
      </c>
      <c r="E492" s="540">
        <v>16777</v>
      </c>
      <c r="F492" s="556">
        <v>156</v>
      </c>
      <c r="G492" s="541">
        <v>9.28</v>
      </c>
      <c r="H492" s="560">
        <v>0.01</v>
      </c>
      <c r="I492" s="107">
        <v>5</v>
      </c>
      <c r="K492" s="370">
        <v>1904</v>
      </c>
      <c r="L492" s="371" t="s">
        <v>3504</v>
      </c>
      <c r="M492" s="372" t="s">
        <v>751</v>
      </c>
      <c r="N492" s="373" t="s">
        <v>3505</v>
      </c>
      <c r="O492" s="374" t="s">
        <v>3504</v>
      </c>
      <c r="P492" s="374" t="s">
        <v>754</v>
      </c>
    </row>
    <row r="493" spans="1:16" ht="12.75">
      <c r="A493">
        <v>486</v>
      </c>
      <c r="B493" s="557">
        <v>14003</v>
      </c>
      <c r="C493" t="s">
        <v>4817</v>
      </c>
      <c r="D493" s="107" t="s">
        <v>2522</v>
      </c>
      <c r="E493" s="540">
        <v>89</v>
      </c>
      <c r="F493" s="556">
        <v>156</v>
      </c>
      <c r="G493" s="541">
        <v>1747.38</v>
      </c>
      <c r="H493" s="560">
        <v>0.01</v>
      </c>
      <c r="I493" s="107">
        <v>9</v>
      </c>
      <c r="K493" s="370">
        <v>1915</v>
      </c>
      <c r="L493" s="371" t="s">
        <v>3506</v>
      </c>
      <c r="M493" s="372" t="s">
        <v>3173</v>
      </c>
      <c r="N493" s="373" t="s">
        <v>3507</v>
      </c>
      <c r="O493" s="374" t="s">
        <v>3506</v>
      </c>
      <c r="P493" s="374" t="s">
        <v>3175</v>
      </c>
    </row>
    <row r="494" spans="1:16" ht="12.75">
      <c r="A494">
        <v>487</v>
      </c>
      <c r="B494" s="557" t="s">
        <v>4156</v>
      </c>
      <c r="C494" t="s">
        <v>4157</v>
      </c>
      <c r="D494" s="107" t="s">
        <v>2439</v>
      </c>
      <c r="E494" s="540">
        <v>134996</v>
      </c>
      <c r="F494" s="556">
        <v>154</v>
      </c>
      <c r="G494" s="541">
        <v>1.14</v>
      </c>
      <c r="H494" s="560">
        <v>0.01</v>
      </c>
      <c r="I494" s="107">
        <v>7</v>
      </c>
      <c r="K494" s="370">
        <v>1916</v>
      </c>
      <c r="L494" s="371" t="s">
        <v>3508</v>
      </c>
      <c r="M494" s="372" t="s">
        <v>3173</v>
      </c>
      <c r="N494" s="373" t="s">
        <v>3509</v>
      </c>
      <c r="O494" s="374" t="s">
        <v>3508</v>
      </c>
      <c r="P494" s="374" t="s">
        <v>3175</v>
      </c>
    </row>
    <row r="495" spans="1:16" ht="12.75">
      <c r="A495">
        <v>488</v>
      </c>
      <c r="B495" s="557">
        <v>14097</v>
      </c>
      <c r="C495" t="s">
        <v>4818</v>
      </c>
      <c r="D495" s="107" t="s">
        <v>2522</v>
      </c>
      <c r="E495" s="540">
        <v>22</v>
      </c>
      <c r="F495" s="556">
        <v>154</v>
      </c>
      <c r="G495" s="541">
        <v>6980.65</v>
      </c>
      <c r="H495" s="560">
        <v>0.01</v>
      </c>
      <c r="I495" s="107">
        <v>8</v>
      </c>
      <c r="K495" s="370">
        <v>1917</v>
      </c>
      <c r="L495" s="371" t="s">
        <v>3510</v>
      </c>
      <c r="M495" s="372" t="s">
        <v>3173</v>
      </c>
      <c r="N495" s="373" t="s">
        <v>3511</v>
      </c>
      <c r="O495" s="374" t="s">
        <v>3510</v>
      </c>
      <c r="P495" s="374" t="s">
        <v>3175</v>
      </c>
    </row>
    <row r="496" spans="1:16" ht="12.75">
      <c r="A496">
        <v>489</v>
      </c>
      <c r="B496" s="557">
        <v>1451</v>
      </c>
      <c r="C496" t="s">
        <v>4819</v>
      </c>
      <c r="D496" s="107" t="s">
        <v>2522</v>
      </c>
      <c r="E496" s="540">
        <v>34</v>
      </c>
      <c r="F496" s="556">
        <v>152</v>
      </c>
      <c r="G496" s="541">
        <v>4484.21</v>
      </c>
      <c r="H496" s="560">
        <v>0.01</v>
      </c>
      <c r="I496" s="107">
        <v>12</v>
      </c>
      <c r="K496" s="370">
        <v>1919</v>
      </c>
      <c r="L496" s="371" t="s">
        <v>3512</v>
      </c>
      <c r="M496" s="372" t="s">
        <v>3173</v>
      </c>
      <c r="N496" s="373" t="s">
        <v>3513</v>
      </c>
      <c r="O496" s="374" t="s">
        <v>3512</v>
      </c>
      <c r="P496" s="374" t="s">
        <v>3175</v>
      </c>
    </row>
    <row r="497" spans="1:16" ht="12.75">
      <c r="A497">
        <v>490</v>
      </c>
      <c r="B497" s="557">
        <v>17028</v>
      </c>
      <c r="C497" t="s">
        <v>4820</v>
      </c>
      <c r="D497" s="107" t="s">
        <v>2522</v>
      </c>
      <c r="E497" s="540">
        <v>8</v>
      </c>
      <c r="F497" s="556">
        <v>152</v>
      </c>
      <c r="G497" s="541">
        <v>19000</v>
      </c>
      <c r="H497" s="560">
        <v>0.01</v>
      </c>
      <c r="I497" s="107">
        <v>1</v>
      </c>
      <c r="K497" s="370">
        <v>1920</v>
      </c>
      <c r="L497" s="371" t="s">
        <v>3514</v>
      </c>
      <c r="M497" s="372" t="s">
        <v>3173</v>
      </c>
      <c r="N497" s="373" t="s">
        <v>3515</v>
      </c>
      <c r="O497" s="374" t="s">
        <v>3514</v>
      </c>
      <c r="P497" s="374" t="s">
        <v>3175</v>
      </c>
    </row>
    <row r="498" spans="1:16" ht="12.75">
      <c r="A498">
        <v>491</v>
      </c>
      <c r="B498" s="557">
        <v>8526</v>
      </c>
      <c r="C498" t="s">
        <v>4821</v>
      </c>
      <c r="D498" s="107" t="s">
        <v>1773</v>
      </c>
      <c r="E498" s="540">
        <v>209</v>
      </c>
      <c r="F498" s="556">
        <v>150</v>
      </c>
      <c r="G498" s="541">
        <v>716.02</v>
      </c>
      <c r="H498" s="560">
        <v>0.01</v>
      </c>
      <c r="I498" s="107">
        <v>11</v>
      </c>
      <c r="K498" s="370">
        <v>1921</v>
      </c>
      <c r="L498" s="371" t="s">
        <v>3516</v>
      </c>
      <c r="M498" s="372" t="s">
        <v>3173</v>
      </c>
      <c r="N498" s="373" t="s">
        <v>3517</v>
      </c>
      <c r="O498" s="374" t="s">
        <v>3516</v>
      </c>
      <c r="P498" s="374" t="s">
        <v>3175</v>
      </c>
    </row>
    <row r="499" spans="1:16" ht="12.75">
      <c r="A499">
        <v>492</v>
      </c>
      <c r="B499" s="557" t="s">
        <v>4188</v>
      </c>
      <c r="C499" t="s">
        <v>4822</v>
      </c>
      <c r="D499" s="107" t="s">
        <v>3416</v>
      </c>
      <c r="E499" s="540">
        <v>8582</v>
      </c>
      <c r="F499" s="556">
        <v>149</v>
      </c>
      <c r="G499" s="541">
        <v>17.37</v>
      </c>
      <c r="H499" s="560">
        <v>0.01</v>
      </c>
      <c r="I499" s="107">
        <v>5</v>
      </c>
      <c r="K499" s="370">
        <v>1922</v>
      </c>
      <c r="L499" s="371" t="s">
        <v>3518</v>
      </c>
      <c r="M499" s="372" t="s">
        <v>3173</v>
      </c>
      <c r="N499" s="373" t="s">
        <v>3519</v>
      </c>
      <c r="O499" s="374" t="s">
        <v>3518</v>
      </c>
      <c r="P499" s="374" t="s">
        <v>3175</v>
      </c>
    </row>
    <row r="500" spans="1:16" ht="12.75">
      <c r="A500">
        <v>493</v>
      </c>
      <c r="B500" s="557" t="s">
        <v>4266</v>
      </c>
      <c r="C500" t="s">
        <v>4823</v>
      </c>
      <c r="D500" s="107" t="s">
        <v>1772</v>
      </c>
      <c r="E500" s="540">
        <v>2666</v>
      </c>
      <c r="F500" s="556">
        <v>147</v>
      </c>
      <c r="G500" s="541">
        <v>55</v>
      </c>
      <c r="H500" s="560">
        <v>0.01</v>
      </c>
      <c r="I500" s="107">
        <v>1</v>
      </c>
      <c r="K500" s="370">
        <v>1923</v>
      </c>
      <c r="L500" s="371" t="s">
        <v>3520</v>
      </c>
      <c r="M500" s="372" t="s">
        <v>3173</v>
      </c>
      <c r="N500" s="373" t="s">
        <v>3521</v>
      </c>
      <c r="O500" s="374" t="s">
        <v>3520</v>
      </c>
      <c r="P500" s="374" t="s">
        <v>3175</v>
      </c>
    </row>
    <row r="501" spans="1:16" ht="12.75">
      <c r="A501">
        <v>494</v>
      </c>
      <c r="B501" s="557" t="s">
        <v>4243</v>
      </c>
      <c r="C501" t="s">
        <v>4824</v>
      </c>
      <c r="D501" s="107" t="s">
        <v>2439</v>
      </c>
      <c r="E501" s="540">
        <v>825</v>
      </c>
      <c r="F501" s="556">
        <v>145</v>
      </c>
      <c r="G501" s="541">
        <v>176</v>
      </c>
      <c r="H501" s="560">
        <v>0.01</v>
      </c>
      <c r="I501" s="107">
        <v>1</v>
      </c>
      <c r="K501" s="370">
        <v>1935</v>
      </c>
      <c r="L501" s="371" t="s">
        <v>3522</v>
      </c>
      <c r="M501" s="372" t="s">
        <v>3173</v>
      </c>
      <c r="N501" s="373" t="s">
        <v>3523</v>
      </c>
      <c r="O501" s="374" t="s">
        <v>3522</v>
      </c>
      <c r="P501" s="374" t="s">
        <v>3175</v>
      </c>
    </row>
    <row r="502" spans="1:16" ht="12.75">
      <c r="A502">
        <v>495</v>
      </c>
      <c r="B502" s="557">
        <v>1001</v>
      </c>
      <c r="C502" t="s">
        <v>4825</v>
      </c>
      <c r="D502" s="107" t="s">
        <v>2439</v>
      </c>
      <c r="E502" s="540">
        <v>12953</v>
      </c>
      <c r="F502" s="556">
        <v>145</v>
      </c>
      <c r="G502" s="541">
        <v>11.16</v>
      </c>
      <c r="H502" s="560">
        <v>0.01</v>
      </c>
      <c r="I502" s="107">
        <v>2</v>
      </c>
      <c r="K502" s="370">
        <v>1936</v>
      </c>
      <c r="L502" s="371" t="s">
        <v>3524</v>
      </c>
      <c r="M502" s="372" t="s">
        <v>3173</v>
      </c>
      <c r="N502" s="373" t="s">
        <v>3525</v>
      </c>
      <c r="O502" s="374" t="s">
        <v>3524</v>
      </c>
      <c r="P502" s="374" t="s">
        <v>3175</v>
      </c>
    </row>
    <row r="503" spans="1:16" ht="12.75">
      <c r="A503">
        <v>496</v>
      </c>
      <c r="B503" s="557">
        <v>1903</v>
      </c>
      <c r="C503" t="s">
        <v>4826</v>
      </c>
      <c r="D503" s="107" t="s">
        <v>2439</v>
      </c>
      <c r="E503" s="540">
        <v>23419</v>
      </c>
      <c r="F503" s="556">
        <v>144</v>
      </c>
      <c r="G503" s="541">
        <v>6.17</v>
      </c>
      <c r="H503" s="560">
        <v>0.01</v>
      </c>
      <c r="I503" s="107">
        <v>1</v>
      </c>
      <c r="K503" s="370">
        <v>1937</v>
      </c>
      <c r="L503" s="371" t="s">
        <v>3526</v>
      </c>
      <c r="M503" s="372" t="s">
        <v>3173</v>
      </c>
      <c r="N503" s="373" t="s">
        <v>3527</v>
      </c>
      <c r="O503" s="374" t="s">
        <v>3526</v>
      </c>
      <c r="P503" s="374" t="s">
        <v>3175</v>
      </c>
    </row>
    <row r="504" spans="1:16" ht="12.75">
      <c r="A504">
        <v>497</v>
      </c>
      <c r="B504" s="557">
        <v>2611</v>
      </c>
      <c r="C504" t="s">
        <v>4827</v>
      </c>
      <c r="D504" s="107" t="s">
        <v>2439</v>
      </c>
      <c r="E504" s="540">
        <v>1580</v>
      </c>
      <c r="F504" s="556">
        <v>143</v>
      </c>
      <c r="G504" s="541">
        <v>90.54</v>
      </c>
      <c r="H504" s="560">
        <v>0.01</v>
      </c>
      <c r="I504" s="107">
        <v>5</v>
      </c>
      <c r="K504" s="370">
        <v>1939</v>
      </c>
      <c r="L504" s="371" t="s">
        <v>3528</v>
      </c>
      <c r="M504" s="372" t="s">
        <v>3173</v>
      </c>
      <c r="N504" s="373" t="s">
        <v>3529</v>
      </c>
      <c r="O504" s="374" t="s">
        <v>3528</v>
      </c>
      <c r="P504" s="374" t="s">
        <v>3175</v>
      </c>
    </row>
    <row r="505" spans="1:16" ht="12.75">
      <c r="A505">
        <v>498</v>
      </c>
      <c r="B505" s="557">
        <v>4845</v>
      </c>
      <c r="C505" t="s">
        <v>4828</v>
      </c>
      <c r="D505" s="107" t="s">
        <v>2439</v>
      </c>
      <c r="E505" s="540">
        <v>49046</v>
      </c>
      <c r="F505" s="556">
        <v>140</v>
      </c>
      <c r="G505" s="541">
        <v>2.86</v>
      </c>
      <c r="H505" s="560">
        <v>0.01</v>
      </c>
      <c r="I505" s="107">
        <v>18</v>
      </c>
      <c r="K505" s="370">
        <v>1940</v>
      </c>
      <c r="L505" s="371" t="s">
        <v>3530</v>
      </c>
      <c r="M505" s="372" t="s">
        <v>3173</v>
      </c>
      <c r="N505" s="373" t="s">
        <v>3531</v>
      </c>
      <c r="O505" s="374" t="s">
        <v>3530</v>
      </c>
      <c r="P505" s="374" t="s">
        <v>3175</v>
      </c>
    </row>
    <row r="506" spans="1:16" ht="12.75">
      <c r="A506">
        <v>499</v>
      </c>
      <c r="B506" s="557">
        <v>14090</v>
      </c>
      <c r="C506" t="s">
        <v>4071</v>
      </c>
      <c r="D506" s="107" t="s">
        <v>2522</v>
      </c>
      <c r="E506" s="540">
        <v>13</v>
      </c>
      <c r="F506" s="556">
        <v>140</v>
      </c>
      <c r="G506" s="541">
        <v>10800</v>
      </c>
      <c r="H506" s="560">
        <v>0.01</v>
      </c>
      <c r="I506" s="107">
        <v>4</v>
      </c>
      <c r="K506" s="370">
        <v>1941</v>
      </c>
      <c r="L506" s="371" t="s">
        <v>3532</v>
      </c>
      <c r="M506" s="372" t="s">
        <v>3173</v>
      </c>
      <c r="N506" s="373" t="s">
        <v>3533</v>
      </c>
      <c r="O506" s="374" t="s">
        <v>3532</v>
      </c>
      <c r="P506" s="374" t="s">
        <v>3175</v>
      </c>
    </row>
    <row r="507" spans="1:16" ht="12.75">
      <c r="A507">
        <v>500</v>
      </c>
      <c r="B507" s="557">
        <v>6459</v>
      </c>
      <c r="C507" t="s">
        <v>4829</v>
      </c>
      <c r="D507" s="107" t="s">
        <v>2522</v>
      </c>
      <c r="E507" s="540">
        <v>1</v>
      </c>
      <c r="F507" s="556">
        <v>140</v>
      </c>
      <c r="G507" s="541">
        <v>140141.6</v>
      </c>
      <c r="H507" s="560">
        <v>0.01</v>
      </c>
      <c r="I507" s="107">
        <v>1</v>
      </c>
      <c r="K507" s="370">
        <v>1943</v>
      </c>
      <c r="L507" s="371" t="s">
        <v>3534</v>
      </c>
      <c r="M507" s="372" t="s">
        <v>3173</v>
      </c>
      <c r="N507" s="373" t="s">
        <v>3535</v>
      </c>
      <c r="O507" s="374" t="s">
        <v>3534</v>
      </c>
      <c r="P507" s="374" t="s">
        <v>3175</v>
      </c>
    </row>
    <row r="508" spans="1:16" ht="12.75">
      <c r="A508">
        <v>501</v>
      </c>
      <c r="B508" s="557">
        <v>14079</v>
      </c>
      <c r="C508" t="s">
        <v>4830</v>
      </c>
      <c r="D508" s="107" t="s">
        <v>2522</v>
      </c>
      <c r="E508" s="540">
        <v>4</v>
      </c>
      <c r="F508" s="556">
        <v>139</v>
      </c>
      <c r="G508" s="541">
        <v>34850</v>
      </c>
      <c r="H508" s="560">
        <v>0.01</v>
      </c>
      <c r="I508" s="107">
        <v>2</v>
      </c>
      <c r="K508" s="370">
        <v>1945</v>
      </c>
      <c r="L508" s="371" t="s">
        <v>3536</v>
      </c>
      <c r="M508" s="372" t="s">
        <v>3173</v>
      </c>
      <c r="N508" s="373" t="s">
        <v>3537</v>
      </c>
      <c r="O508" s="374" t="s">
        <v>3536</v>
      </c>
      <c r="P508" s="374" t="s">
        <v>3175</v>
      </c>
    </row>
    <row r="509" spans="1:16" ht="12.75">
      <c r="A509">
        <v>502</v>
      </c>
      <c r="B509" s="557" t="s">
        <v>4831</v>
      </c>
      <c r="C509" t="s">
        <v>4832</v>
      </c>
      <c r="D509" s="107" t="s">
        <v>2439</v>
      </c>
      <c r="E509" s="540">
        <v>10195</v>
      </c>
      <c r="F509" s="556">
        <v>139</v>
      </c>
      <c r="G509" s="541">
        <v>13.65</v>
      </c>
      <c r="H509" s="560">
        <v>0.01</v>
      </c>
      <c r="I509" s="107">
        <v>1</v>
      </c>
      <c r="K509" s="370">
        <v>1946</v>
      </c>
      <c r="L509" s="371" t="s">
        <v>3538</v>
      </c>
      <c r="M509" s="372" t="s">
        <v>3173</v>
      </c>
      <c r="N509" s="373" t="s">
        <v>3539</v>
      </c>
      <c r="O509" s="374" t="s">
        <v>3538</v>
      </c>
      <c r="P509" s="374" t="s">
        <v>3175</v>
      </c>
    </row>
    <row r="510" spans="1:16" ht="12.75">
      <c r="A510">
        <v>503</v>
      </c>
      <c r="B510" s="557">
        <v>17012</v>
      </c>
      <c r="C510" t="s">
        <v>4833</v>
      </c>
      <c r="D510" s="107" t="s">
        <v>2439</v>
      </c>
      <c r="E510" s="540">
        <v>400</v>
      </c>
      <c r="F510" s="556">
        <v>139</v>
      </c>
      <c r="G510" s="541">
        <v>347</v>
      </c>
      <c r="H510" s="560">
        <v>0.01</v>
      </c>
      <c r="I510" s="107">
        <v>1</v>
      </c>
      <c r="K510" s="370">
        <v>1947</v>
      </c>
      <c r="L510" s="371" t="s">
        <v>3540</v>
      </c>
      <c r="M510" s="372" t="s">
        <v>3173</v>
      </c>
      <c r="N510" s="373" t="s">
        <v>3541</v>
      </c>
      <c r="O510" s="374" t="s">
        <v>3540</v>
      </c>
      <c r="P510" s="374" t="s">
        <v>3175</v>
      </c>
    </row>
    <row r="511" spans="1:16" ht="12.75">
      <c r="A511">
        <v>504</v>
      </c>
      <c r="B511" s="557">
        <v>8170</v>
      </c>
      <c r="C511" t="s">
        <v>4834</v>
      </c>
      <c r="D511" s="107" t="s">
        <v>2441</v>
      </c>
      <c r="E511" s="540">
        <v>5</v>
      </c>
      <c r="F511" s="556">
        <v>139</v>
      </c>
      <c r="G511" s="541">
        <v>27704.32</v>
      </c>
      <c r="H511" s="560">
        <v>0.01</v>
      </c>
      <c r="I511" s="107">
        <v>5</v>
      </c>
      <c r="K511" s="370">
        <v>1949</v>
      </c>
      <c r="L511" s="371" t="s">
        <v>3542</v>
      </c>
      <c r="M511" s="372" t="s">
        <v>3173</v>
      </c>
      <c r="N511" s="373" t="s">
        <v>3543</v>
      </c>
      <c r="O511" s="374" t="s">
        <v>3542</v>
      </c>
      <c r="P511" s="374" t="s">
        <v>3175</v>
      </c>
    </row>
    <row r="512" spans="1:16" ht="12.75">
      <c r="A512">
        <v>505</v>
      </c>
      <c r="B512" s="557">
        <v>3383</v>
      </c>
      <c r="C512" t="s">
        <v>4835</v>
      </c>
      <c r="D512" s="107" t="s">
        <v>2439</v>
      </c>
      <c r="E512" s="540">
        <v>4605</v>
      </c>
      <c r="F512" s="556">
        <v>138</v>
      </c>
      <c r="G512" s="541">
        <v>30.04</v>
      </c>
      <c r="H512" s="560">
        <v>0.01</v>
      </c>
      <c r="I512" s="107">
        <v>2</v>
      </c>
      <c r="K512" s="370">
        <v>1950</v>
      </c>
      <c r="L512" s="371" t="s">
        <v>3217</v>
      </c>
      <c r="M512" s="372" t="s">
        <v>3173</v>
      </c>
      <c r="N512" s="373" t="s">
        <v>3218</v>
      </c>
      <c r="O512" s="374" t="s">
        <v>3217</v>
      </c>
      <c r="P512" s="374" t="s">
        <v>3175</v>
      </c>
    </row>
    <row r="513" spans="1:16" ht="12.75">
      <c r="A513">
        <v>506</v>
      </c>
      <c r="B513" s="557">
        <v>14025</v>
      </c>
      <c r="C513" t="s">
        <v>4836</v>
      </c>
      <c r="D513" s="107" t="s">
        <v>2522</v>
      </c>
      <c r="E513" s="540">
        <v>61</v>
      </c>
      <c r="F513" s="556">
        <v>138</v>
      </c>
      <c r="G513" s="541">
        <v>2264.57</v>
      </c>
      <c r="H513" s="560">
        <v>0.01</v>
      </c>
      <c r="I513" s="107">
        <v>2</v>
      </c>
      <c r="K513" s="370">
        <v>1953</v>
      </c>
      <c r="L513" s="371" t="s">
        <v>3219</v>
      </c>
      <c r="M513" s="372" t="s">
        <v>751</v>
      </c>
      <c r="N513" s="373" t="s">
        <v>3220</v>
      </c>
      <c r="O513" s="374" t="s">
        <v>3221</v>
      </c>
      <c r="P513" s="374" t="s">
        <v>754</v>
      </c>
    </row>
    <row r="514" spans="1:16" ht="12.75">
      <c r="A514">
        <v>507</v>
      </c>
      <c r="B514" s="557" t="s">
        <v>4837</v>
      </c>
      <c r="C514" t="s">
        <v>4838</v>
      </c>
      <c r="D514" s="107" t="s">
        <v>2439</v>
      </c>
      <c r="E514" s="540">
        <v>60</v>
      </c>
      <c r="F514" s="556">
        <v>138</v>
      </c>
      <c r="G514" s="541">
        <v>2300</v>
      </c>
      <c r="H514" s="560">
        <v>0.01</v>
      </c>
      <c r="I514" s="107">
        <v>1</v>
      </c>
      <c r="K514" s="370">
        <v>1955</v>
      </c>
      <c r="L514" s="371" t="s">
        <v>3222</v>
      </c>
      <c r="M514" s="372" t="s">
        <v>751</v>
      </c>
      <c r="N514" s="373" t="s">
        <v>3223</v>
      </c>
      <c r="O514" s="374" t="s">
        <v>3224</v>
      </c>
      <c r="P514" s="374" t="s">
        <v>754</v>
      </c>
    </row>
    <row r="515" spans="1:14" ht="12.75">
      <c r="A515">
        <v>508</v>
      </c>
      <c r="B515" s="557">
        <v>1214</v>
      </c>
      <c r="C515" t="s">
        <v>4839</v>
      </c>
      <c r="D515" s="107" t="s">
        <v>2522</v>
      </c>
      <c r="E515" s="540">
        <v>30</v>
      </c>
      <c r="F515" s="556">
        <v>138</v>
      </c>
      <c r="G515" s="541">
        <v>4590.76</v>
      </c>
      <c r="H515" s="560">
        <v>0.01</v>
      </c>
      <c r="I515" s="107">
        <v>10</v>
      </c>
      <c r="K515" s="370">
        <v>1956</v>
      </c>
      <c r="L515" s="371" t="s">
        <v>1495</v>
      </c>
      <c r="M515" s="372" t="s">
        <v>2821</v>
      </c>
      <c r="N515" s="373"/>
    </row>
    <row r="516" spans="1:14" ht="12.75">
      <c r="A516">
        <v>509</v>
      </c>
      <c r="B516" s="557">
        <v>15025</v>
      </c>
      <c r="C516" t="s">
        <v>4840</v>
      </c>
      <c r="D516" s="107" t="s">
        <v>2439</v>
      </c>
      <c r="E516" s="540">
        <v>321</v>
      </c>
      <c r="F516" s="556">
        <v>138</v>
      </c>
      <c r="G516" s="541">
        <v>429</v>
      </c>
      <c r="H516" s="560">
        <v>0.01</v>
      </c>
      <c r="I516" s="107">
        <v>1</v>
      </c>
      <c r="K516" s="370">
        <v>1957</v>
      </c>
      <c r="L516" s="371" t="s">
        <v>1496</v>
      </c>
      <c r="M516" s="372" t="s">
        <v>2821</v>
      </c>
      <c r="N516" s="373"/>
    </row>
    <row r="517" spans="1:16" ht="12.75">
      <c r="A517">
        <v>510</v>
      </c>
      <c r="B517" s="557">
        <v>4795</v>
      </c>
      <c r="C517" t="s">
        <v>4841</v>
      </c>
      <c r="D517" s="107" t="s">
        <v>2439</v>
      </c>
      <c r="E517" s="540">
        <v>6882</v>
      </c>
      <c r="F517" s="556">
        <v>138</v>
      </c>
      <c r="G517" s="541">
        <v>19.99</v>
      </c>
      <c r="H517" s="560">
        <v>0.01</v>
      </c>
      <c r="I517" s="107">
        <v>47</v>
      </c>
      <c r="K517" s="370">
        <v>1967</v>
      </c>
      <c r="L517" s="371" t="s">
        <v>1497</v>
      </c>
      <c r="M517" s="372" t="s">
        <v>751</v>
      </c>
      <c r="N517" s="373" t="s">
        <v>1498</v>
      </c>
      <c r="O517" s="374" t="s">
        <v>1499</v>
      </c>
      <c r="P517" s="374" t="s">
        <v>754</v>
      </c>
    </row>
    <row r="518" spans="1:14" ht="12.75">
      <c r="A518">
        <v>511</v>
      </c>
      <c r="B518" s="557">
        <v>8094</v>
      </c>
      <c r="C518" t="s">
        <v>4842</v>
      </c>
      <c r="D518" s="107" t="s">
        <v>2522</v>
      </c>
      <c r="E518" s="540">
        <v>851</v>
      </c>
      <c r="F518" s="556">
        <v>137</v>
      </c>
      <c r="G518" s="541">
        <v>161.56</v>
      </c>
      <c r="H518" s="560">
        <v>0.01</v>
      </c>
      <c r="I518" s="107">
        <v>14</v>
      </c>
      <c r="K518" s="370">
        <v>1982</v>
      </c>
      <c r="L518" s="371" t="s">
        <v>1500</v>
      </c>
      <c r="M518" s="372" t="s">
        <v>2821</v>
      </c>
      <c r="N518" s="373"/>
    </row>
    <row r="519" spans="1:14" ht="12.75">
      <c r="A519">
        <v>512</v>
      </c>
      <c r="B519" s="557" t="s">
        <v>4118</v>
      </c>
      <c r="C519" t="s">
        <v>4843</v>
      </c>
      <c r="D519" s="107" t="s">
        <v>2522</v>
      </c>
      <c r="E519" s="540">
        <v>15</v>
      </c>
      <c r="F519" s="556">
        <v>137</v>
      </c>
      <c r="G519" s="541">
        <v>9160.37</v>
      </c>
      <c r="H519" s="560">
        <v>0.01</v>
      </c>
      <c r="I519" s="107">
        <v>5</v>
      </c>
      <c r="K519" s="370">
        <v>1983</v>
      </c>
      <c r="L519" s="371" t="s">
        <v>1501</v>
      </c>
      <c r="M519" s="372" t="s">
        <v>2821</v>
      </c>
      <c r="N519" s="373"/>
    </row>
    <row r="520" spans="1:14" ht="12.75">
      <c r="A520">
        <v>513</v>
      </c>
      <c r="B520" s="557" t="s">
        <v>4237</v>
      </c>
      <c r="C520" t="s">
        <v>4844</v>
      </c>
      <c r="D520" s="107" t="s">
        <v>2439</v>
      </c>
      <c r="E520" s="540">
        <v>40</v>
      </c>
      <c r="F520" s="556">
        <v>136</v>
      </c>
      <c r="G520" s="541">
        <v>3400</v>
      </c>
      <c r="H520" s="560">
        <v>0.01</v>
      </c>
      <c r="I520" s="107">
        <v>1</v>
      </c>
      <c r="K520" s="370">
        <v>1984</v>
      </c>
      <c r="L520" s="371" t="s">
        <v>1502</v>
      </c>
      <c r="M520" s="372" t="s">
        <v>2821</v>
      </c>
      <c r="N520" s="373"/>
    </row>
    <row r="521" spans="1:14" ht="12.75">
      <c r="A521">
        <v>514</v>
      </c>
      <c r="B521" s="557" t="s">
        <v>4845</v>
      </c>
      <c r="C521" t="s">
        <v>4846</v>
      </c>
      <c r="D521" s="107" t="s">
        <v>2439</v>
      </c>
      <c r="E521" s="540">
        <v>68</v>
      </c>
      <c r="F521" s="556">
        <v>136</v>
      </c>
      <c r="G521" s="541">
        <v>2000</v>
      </c>
      <c r="H521" s="560">
        <v>0.01</v>
      </c>
      <c r="I521" s="107">
        <v>1</v>
      </c>
      <c r="K521" s="370">
        <v>1985</v>
      </c>
      <c r="L521" s="371" t="s">
        <v>1503</v>
      </c>
      <c r="M521" s="372" t="s">
        <v>2821</v>
      </c>
      <c r="N521" s="373"/>
    </row>
    <row r="522" spans="1:16" ht="12.75">
      <c r="A522">
        <v>515</v>
      </c>
      <c r="B522" s="557">
        <v>1020</v>
      </c>
      <c r="C522" t="s">
        <v>4847</v>
      </c>
      <c r="D522" s="107" t="s">
        <v>2522</v>
      </c>
      <c r="E522" s="540">
        <v>150</v>
      </c>
      <c r="F522" s="556">
        <v>136</v>
      </c>
      <c r="G522" s="541">
        <v>903.75</v>
      </c>
      <c r="H522" s="560">
        <v>0.01</v>
      </c>
      <c r="I522" s="107">
        <v>24</v>
      </c>
      <c r="K522" s="370">
        <v>1988</v>
      </c>
      <c r="L522" s="371" t="s">
        <v>1504</v>
      </c>
      <c r="M522" s="372" t="s">
        <v>751</v>
      </c>
      <c r="N522" s="373" t="s">
        <v>1505</v>
      </c>
      <c r="O522" s="374" t="s">
        <v>1506</v>
      </c>
      <c r="P522" s="374" t="s">
        <v>754</v>
      </c>
    </row>
    <row r="523" spans="1:16" ht="12.75">
      <c r="A523">
        <v>516</v>
      </c>
      <c r="B523" s="557">
        <v>15016</v>
      </c>
      <c r="C523" t="s">
        <v>4247</v>
      </c>
      <c r="D523" s="107" t="s">
        <v>2439</v>
      </c>
      <c r="E523" s="540">
        <v>280</v>
      </c>
      <c r="F523" s="556">
        <v>134</v>
      </c>
      <c r="G523" s="541">
        <v>479</v>
      </c>
      <c r="H523" s="560">
        <v>0.01</v>
      </c>
      <c r="I523" s="107">
        <v>1</v>
      </c>
      <c r="K523" s="370">
        <v>1989</v>
      </c>
      <c r="L523" s="371" t="s">
        <v>1507</v>
      </c>
      <c r="M523" s="372" t="s">
        <v>751</v>
      </c>
      <c r="N523" s="373" t="s">
        <v>1508</v>
      </c>
      <c r="O523" s="374" t="s">
        <v>1509</v>
      </c>
      <c r="P523" s="374" t="s">
        <v>754</v>
      </c>
    </row>
    <row r="524" spans="1:16" ht="12.75">
      <c r="A524">
        <v>517</v>
      </c>
      <c r="B524" s="557">
        <v>8806</v>
      </c>
      <c r="C524" t="s">
        <v>4848</v>
      </c>
      <c r="D524" s="107" t="s">
        <v>2439</v>
      </c>
      <c r="E524" s="540">
        <v>980</v>
      </c>
      <c r="F524" s="556">
        <v>134</v>
      </c>
      <c r="G524" s="541">
        <v>136.85</v>
      </c>
      <c r="H524" s="560">
        <v>0.01</v>
      </c>
      <c r="I524" s="107">
        <v>4</v>
      </c>
      <c r="K524" s="370">
        <v>1992</v>
      </c>
      <c r="L524" s="371" t="s">
        <v>1510</v>
      </c>
      <c r="M524" s="372" t="s">
        <v>751</v>
      </c>
      <c r="N524" s="373" t="s">
        <v>1511</v>
      </c>
      <c r="O524" s="374" t="s">
        <v>1510</v>
      </c>
      <c r="P524" s="374" t="s">
        <v>754</v>
      </c>
    </row>
    <row r="525" spans="1:16" ht="12.75">
      <c r="A525">
        <v>518</v>
      </c>
      <c r="B525" s="557" t="s">
        <v>4195</v>
      </c>
      <c r="C525" t="s">
        <v>4849</v>
      </c>
      <c r="D525" s="107" t="s">
        <v>1771</v>
      </c>
      <c r="E525" s="540">
        <v>127</v>
      </c>
      <c r="F525" s="556">
        <v>134</v>
      </c>
      <c r="G525" s="541">
        <v>1052.76</v>
      </c>
      <c r="H525" s="560">
        <v>0.01</v>
      </c>
      <c r="I525" s="107">
        <v>2</v>
      </c>
      <c r="K525" s="370">
        <v>1999</v>
      </c>
      <c r="L525" s="371" t="s">
        <v>1512</v>
      </c>
      <c r="M525" s="372" t="s">
        <v>751</v>
      </c>
      <c r="N525" s="373" t="s">
        <v>1513</v>
      </c>
      <c r="O525" s="374" t="s">
        <v>1514</v>
      </c>
      <c r="P525" s="374" t="s">
        <v>754</v>
      </c>
    </row>
    <row r="526" spans="1:16" ht="12.75">
      <c r="A526">
        <v>519</v>
      </c>
      <c r="B526" s="557">
        <v>2014</v>
      </c>
      <c r="C526" t="s">
        <v>4850</v>
      </c>
      <c r="D526" s="107" t="s">
        <v>2522</v>
      </c>
      <c r="E526" s="540">
        <v>762</v>
      </c>
      <c r="F526" s="556">
        <v>133</v>
      </c>
      <c r="G526" s="541">
        <v>174.91</v>
      </c>
      <c r="H526" s="560">
        <v>0.01</v>
      </c>
      <c r="I526" s="107">
        <v>71</v>
      </c>
      <c r="K526" s="370">
        <v>2000</v>
      </c>
      <c r="L526" s="371" t="s">
        <v>1515</v>
      </c>
      <c r="M526" s="372" t="s">
        <v>751</v>
      </c>
      <c r="N526" s="373" t="s">
        <v>1516</v>
      </c>
      <c r="O526" s="374" t="s">
        <v>1515</v>
      </c>
      <c r="P526" s="374" t="s">
        <v>754</v>
      </c>
    </row>
    <row r="527" spans="1:14" ht="12.75">
      <c r="A527">
        <v>520</v>
      </c>
      <c r="B527" s="557">
        <v>14048</v>
      </c>
      <c r="C527" t="s">
        <v>4073</v>
      </c>
      <c r="D527" s="107" t="s">
        <v>2439</v>
      </c>
      <c r="E527" s="540">
        <v>474</v>
      </c>
      <c r="F527" s="556">
        <v>130</v>
      </c>
      <c r="G527" s="541">
        <v>275</v>
      </c>
      <c r="H527" s="560">
        <v>0.01</v>
      </c>
      <c r="I527" s="107">
        <v>1</v>
      </c>
      <c r="K527" s="370">
        <v>2001</v>
      </c>
      <c r="L527" s="371" t="s">
        <v>1517</v>
      </c>
      <c r="M527" s="372" t="s">
        <v>2821</v>
      </c>
      <c r="N527" s="373"/>
    </row>
    <row r="528" spans="1:16" ht="12.75">
      <c r="A528">
        <v>521</v>
      </c>
      <c r="B528" s="557">
        <v>15081</v>
      </c>
      <c r="C528" t="s">
        <v>4851</v>
      </c>
      <c r="D528" s="107" t="s">
        <v>2522</v>
      </c>
      <c r="E528" s="540">
        <v>2</v>
      </c>
      <c r="F528" s="556">
        <v>130</v>
      </c>
      <c r="G528" s="541">
        <v>65000</v>
      </c>
      <c r="H528" s="560">
        <v>0.01</v>
      </c>
      <c r="I528" s="107">
        <v>1</v>
      </c>
      <c r="K528" s="370">
        <v>2002</v>
      </c>
      <c r="L528" s="371" t="s">
        <v>1518</v>
      </c>
      <c r="M528" s="372" t="s">
        <v>751</v>
      </c>
      <c r="N528" s="373" t="s">
        <v>1519</v>
      </c>
      <c r="O528" s="374" t="s">
        <v>1518</v>
      </c>
      <c r="P528" s="374" t="s">
        <v>754</v>
      </c>
    </row>
    <row r="529" spans="1:16" ht="12.75">
      <c r="A529">
        <v>522</v>
      </c>
      <c r="B529" s="557">
        <v>5989</v>
      </c>
      <c r="C529" t="s">
        <v>4852</v>
      </c>
      <c r="D529" s="107" t="s">
        <v>1772</v>
      </c>
      <c r="E529" s="540">
        <v>439129</v>
      </c>
      <c r="F529" s="556">
        <v>130</v>
      </c>
      <c r="G529" s="541">
        <v>0.3</v>
      </c>
      <c r="H529" s="560">
        <v>0.01</v>
      </c>
      <c r="I529" s="107">
        <v>14</v>
      </c>
      <c r="K529" s="370">
        <v>2003</v>
      </c>
      <c r="L529" s="371" t="s">
        <v>1520</v>
      </c>
      <c r="M529" s="372" t="s">
        <v>751</v>
      </c>
      <c r="N529" s="373" t="s">
        <v>1521</v>
      </c>
      <c r="O529" s="374" t="s">
        <v>1520</v>
      </c>
      <c r="P529" s="374" t="s">
        <v>754</v>
      </c>
    </row>
    <row r="530" spans="1:16" ht="12.75">
      <c r="A530">
        <v>523</v>
      </c>
      <c r="B530" s="557">
        <v>1917</v>
      </c>
      <c r="C530" t="s">
        <v>4853</v>
      </c>
      <c r="D530" s="107" t="s">
        <v>1772</v>
      </c>
      <c r="E530" s="540">
        <v>1011</v>
      </c>
      <c r="F530" s="556">
        <v>129</v>
      </c>
      <c r="G530" s="541">
        <v>127.59</v>
      </c>
      <c r="H530" s="560">
        <v>0.01</v>
      </c>
      <c r="I530" s="107">
        <v>2</v>
      </c>
      <c r="K530" s="370">
        <v>2004</v>
      </c>
      <c r="L530" s="371" t="s">
        <v>1522</v>
      </c>
      <c r="M530" s="372" t="s">
        <v>751</v>
      </c>
      <c r="N530" s="373" t="s">
        <v>1523</v>
      </c>
      <c r="O530" s="374" t="s">
        <v>1522</v>
      </c>
      <c r="P530" s="374" t="s">
        <v>754</v>
      </c>
    </row>
    <row r="531" spans="1:16" ht="12.75">
      <c r="A531">
        <v>524</v>
      </c>
      <c r="B531" s="557">
        <v>1947</v>
      </c>
      <c r="C531" t="s">
        <v>4854</v>
      </c>
      <c r="D531" s="107" t="s">
        <v>1772</v>
      </c>
      <c r="E531" s="540">
        <v>898</v>
      </c>
      <c r="F531" s="556">
        <v>129</v>
      </c>
      <c r="G531" s="541">
        <v>143.45</v>
      </c>
      <c r="H531" s="560">
        <v>0.01</v>
      </c>
      <c r="I531" s="107">
        <v>2</v>
      </c>
      <c r="K531" s="370">
        <v>2005</v>
      </c>
      <c r="L531" s="371" t="s">
        <v>1524</v>
      </c>
      <c r="M531" s="372" t="s">
        <v>751</v>
      </c>
      <c r="N531" s="373" t="s">
        <v>1525</v>
      </c>
      <c r="O531" s="374" t="s">
        <v>1524</v>
      </c>
      <c r="P531" s="374" t="s">
        <v>754</v>
      </c>
    </row>
    <row r="532" spans="1:16" ht="12.75">
      <c r="A532">
        <v>525</v>
      </c>
      <c r="B532" s="557">
        <v>3294</v>
      </c>
      <c r="C532" t="s">
        <v>4855</v>
      </c>
      <c r="D532" s="107" t="s">
        <v>2439</v>
      </c>
      <c r="E532" s="540">
        <v>250</v>
      </c>
      <c r="F532" s="556">
        <v>129</v>
      </c>
      <c r="G532" s="541">
        <v>513.38</v>
      </c>
      <c r="H532" s="560">
        <v>0.01</v>
      </c>
      <c r="I532" s="107">
        <v>1</v>
      </c>
      <c r="K532" s="370">
        <v>2006</v>
      </c>
      <c r="L532" s="371" t="s">
        <v>1526</v>
      </c>
      <c r="M532" s="372" t="s">
        <v>751</v>
      </c>
      <c r="N532" s="373" t="s">
        <v>1527</v>
      </c>
      <c r="O532" s="374" t="s">
        <v>1526</v>
      </c>
      <c r="P532" s="374" t="s">
        <v>754</v>
      </c>
    </row>
    <row r="533" spans="1:16" ht="12.75">
      <c r="A533">
        <v>526</v>
      </c>
      <c r="B533" s="557">
        <v>14009</v>
      </c>
      <c r="C533" t="s">
        <v>4070</v>
      </c>
      <c r="D533" s="107" t="s">
        <v>2439</v>
      </c>
      <c r="E533" s="540">
        <v>215</v>
      </c>
      <c r="F533" s="556">
        <v>127</v>
      </c>
      <c r="G533" s="541">
        <v>590.12</v>
      </c>
      <c r="H533" s="560">
        <v>0.01</v>
      </c>
      <c r="I533" s="107">
        <v>2</v>
      </c>
      <c r="K533" s="370">
        <v>2008</v>
      </c>
      <c r="L533" s="371" t="s">
        <v>1528</v>
      </c>
      <c r="M533" s="372" t="s">
        <v>751</v>
      </c>
      <c r="N533" s="373" t="s">
        <v>1529</v>
      </c>
      <c r="O533" s="374" t="s">
        <v>1528</v>
      </c>
      <c r="P533" s="374" t="s">
        <v>754</v>
      </c>
    </row>
    <row r="534" spans="1:14" ht="12.75">
      <c r="A534">
        <v>527</v>
      </c>
      <c r="B534" s="557">
        <v>4700</v>
      </c>
      <c r="C534" t="s">
        <v>4856</v>
      </c>
      <c r="D534" s="107" t="s">
        <v>2522</v>
      </c>
      <c r="E534" s="540">
        <v>56</v>
      </c>
      <c r="F534" s="556">
        <v>125</v>
      </c>
      <c r="G534" s="541">
        <v>2240.6</v>
      </c>
      <c r="H534" s="560">
        <v>0.01</v>
      </c>
      <c r="I534" s="107">
        <v>4</v>
      </c>
      <c r="K534" s="370">
        <v>2009</v>
      </c>
      <c r="L534" s="371" t="s">
        <v>1528</v>
      </c>
      <c r="M534" s="372" t="s">
        <v>3173</v>
      </c>
      <c r="N534" s="373"/>
    </row>
    <row r="535" spans="1:14" ht="12.75">
      <c r="A535">
        <v>528</v>
      </c>
      <c r="B535" s="557">
        <v>2203</v>
      </c>
      <c r="C535" t="s">
        <v>4857</v>
      </c>
      <c r="D535" s="107" t="s">
        <v>1773</v>
      </c>
      <c r="E535" s="540">
        <v>2426</v>
      </c>
      <c r="F535" s="556">
        <v>124</v>
      </c>
      <c r="G535" s="541">
        <v>51.13</v>
      </c>
      <c r="H535" s="560">
        <v>0.01</v>
      </c>
      <c r="I535" s="107">
        <v>3</v>
      </c>
      <c r="K535" s="370">
        <v>2010</v>
      </c>
      <c r="L535" s="371" t="s">
        <v>1106</v>
      </c>
      <c r="M535" s="372" t="s">
        <v>2821</v>
      </c>
      <c r="N535" s="373"/>
    </row>
    <row r="536" spans="1:14" ht="12.75">
      <c r="A536">
        <v>529</v>
      </c>
      <c r="B536" s="557" t="s">
        <v>4013</v>
      </c>
      <c r="C536" t="s">
        <v>4858</v>
      </c>
      <c r="D536" s="107" t="s">
        <v>2522</v>
      </c>
      <c r="E536" s="540">
        <v>4989</v>
      </c>
      <c r="F536" s="556">
        <v>124</v>
      </c>
      <c r="G536" s="541">
        <v>24.78</v>
      </c>
      <c r="H536" s="560">
        <v>0.01</v>
      </c>
      <c r="I536" s="107">
        <v>55</v>
      </c>
      <c r="K536" s="370">
        <v>2012</v>
      </c>
      <c r="L536" s="371" t="s">
        <v>1107</v>
      </c>
      <c r="M536" s="372" t="s">
        <v>2821</v>
      </c>
      <c r="N536" s="373"/>
    </row>
    <row r="537" spans="1:14" ht="12.75">
      <c r="A537">
        <v>530</v>
      </c>
      <c r="B537" s="557">
        <v>2460</v>
      </c>
      <c r="C537" t="s">
        <v>4859</v>
      </c>
      <c r="D537" s="107" t="s">
        <v>2522</v>
      </c>
      <c r="E537" s="540">
        <v>65</v>
      </c>
      <c r="F537" s="556">
        <v>123</v>
      </c>
      <c r="G537" s="541">
        <v>1899.78</v>
      </c>
      <c r="H537" s="560">
        <v>0.01</v>
      </c>
      <c r="I537" s="107">
        <v>6</v>
      </c>
      <c r="K537" s="370">
        <v>2013</v>
      </c>
      <c r="L537" s="371" t="s">
        <v>1108</v>
      </c>
      <c r="M537" s="372" t="s">
        <v>2821</v>
      </c>
      <c r="N537" s="373"/>
    </row>
    <row r="538" spans="1:14" ht="12.75">
      <c r="A538">
        <v>531</v>
      </c>
      <c r="B538" s="557" t="s">
        <v>4860</v>
      </c>
      <c r="C538" t="s">
        <v>4861</v>
      </c>
      <c r="D538" s="107" t="s">
        <v>1771</v>
      </c>
      <c r="E538" s="540">
        <v>245</v>
      </c>
      <c r="F538" s="556">
        <v>123</v>
      </c>
      <c r="G538" s="541">
        <v>500</v>
      </c>
      <c r="H538" s="560">
        <v>0.01</v>
      </c>
      <c r="I538" s="107">
        <v>1</v>
      </c>
      <c r="K538" s="370">
        <v>2014</v>
      </c>
      <c r="L538" s="371" t="s">
        <v>1109</v>
      </c>
      <c r="M538" s="372" t="s">
        <v>2821</v>
      </c>
      <c r="N538" s="373"/>
    </row>
    <row r="539" spans="1:16" ht="12.75">
      <c r="A539">
        <v>532</v>
      </c>
      <c r="B539" s="557">
        <v>6491</v>
      </c>
      <c r="C539" t="s">
        <v>4862</v>
      </c>
      <c r="D539" s="107" t="s">
        <v>2443</v>
      </c>
      <c r="E539" s="540">
        <v>64976</v>
      </c>
      <c r="F539" s="556">
        <v>122</v>
      </c>
      <c r="G539" s="541">
        <v>1.88</v>
      </c>
      <c r="H539" s="560">
        <v>0.01</v>
      </c>
      <c r="I539" s="107">
        <v>5</v>
      </c>
      <c r="K539" s="370">
        <v>2015</v>
      </c>
      <c r="L539" s="371" t="s">
        <v>1110</v>
      </c>
      <c r="M539" s="372" t="s">
        <v>3173</v>
      </c>
      <c r="N539" s="373" t="s">
        <v>1111</v>
      </c>
      <c r="O539" s="374" t="s">
        <v>1110</v>
      </c>
      <c r="P539" s="374" t="s">
        <v>3175</v>
      </c>
    </row>
    <row r="540" spans="1:16" ht="12.75">
      <c r="A540">
        <v>533</v>
      </c>
      <c r="B540" s="557" t="s">
        <v>4084</v>
      </c>
      <c r="C540" t="s">
        <v>4863</v>
      </c>
      <c r="D540" s="107" t="s">
        <v>2522</v>
      </c>
      <c r="E540" s="540">
        <v>10897</v>
      </c>
      <c r="F540" s="556">
        <v>122</v>
      </c>
      <c r="G540" s="541">
        <v>11.19</v>
      </c>
      <c r="H540" s="560">
        <v>0.01</v>
      </c>
      <c r="I540" s="107">
        <v>31</v>
      </c>
      <c r="K540" s="370">
        <v>2016</v>
      </c>
      <c r="L540" s="371" t="s">
        <v>1112</v>
      </c>
      <c r="M540" s="372" t="s">
        <v>3173</v>
      </c>
      <c r="N540" s="373" t="s">
        <v>1113</v>
      </c>
      <c r="O540" s="374" t="s">
        <v>1112</v>
      </c>
      <c r="P540" s="374" t="s">
        <v>3175</v>
      </c>
    </row>
    <row r="541" spans="1:16" ht="12.75">
      <c r="A541">
        <v>534</v>
      </c>
      <c r="B541" s="557">
        <v>2267</v>
      </c>
      <c r="C541" t="s">
        <v>4864</v>
      </c>
      <c r="D541" s="107" t="s">
        <v>2439</v>
      </c>
      <c r="E541" s="540">
        <v>8937</v>
      </c>
      <c r="F541" s="556">
        <v>121</v>
      </c>
      <c r="G541" s="541">
        <v>13.54</v>
      </c>
      <c r="H541" s="560">
        <v>0.01</v>
      </c>
      <c r="I541" s="107">
        <v>4</v>
      </c>
      <c r="K541" s="370">
        <v>2058</v>
      </c>
      <c r="L541" s="371" t="s">
        <v>1114</v>
      </c>
      <c r="M541" s="372" t="s">
        <v>3173</v>
      </c>
      <c r="N541" s="373" t="s">
        <v>1115</v>
      </c>
      <c r="O541" s="374" t="s">
        <v>1114</v>
      </c>
      <c r="P541" s="374" t="s">
        <v>3175</v>
      </c>
    </row>
    <row r="542" spans="1:16" ht="12.75">
      <c r="A542">
        <v>535</v>
      </c>
      <c r="B542" s="557">
        <v>529</v>
      </c>
      <c r="C542" t="s">
        <v>4865</v>
      </c>
      <c r="D542" s="107" t="s">
        <v>2439</v>
      </c>
      <c r="E542" s="540">
        <v>680</v>
      </c>
      <c r="F542" s="556">
        <v>121</v>
      </c>
      <c r="G542" s="541">
        <v>177.24</v>
      </c>
      <c r="H542" s="560">
        <v>0.01</v>
      </c>
      <c r="I542" s="107">
        <v>2</v>
      </c>
      <c r="K542" s="370">
        <v>2060</v>
      </c>
      <c r="L542" s="371" t="s">
        <v>1116</v>
      </c>
      <c r="M542" s="372" t="s">
        <v>3173</v>
      </c>
      <c r="N542" s="373" t="s">
        <v>1117</v>
      </c>
      <c r="O542" s="374" t="s">
        <v>1116</v>
      </c>
      <c r="P542" s="374" t="s">
        <v>3175</v>
      </c>
    </row>
    <row r="543" spans="1:16" ht="12.75">
      <c r="A543">
        <v>536</v>
      </c>
      <c r="B543" s="557">
        <v>1988</v>
      </c>
      <c r="C543" t="s">
        <v>4866</v>
      </c>
      <c r="D543" s="107" t="s">
        <v>2439</v>
      </c>
      <c r="E543" s="540">
        <v>397</v>
      </c>
      <c r="F543" s="556">
        <v>120</v>
      </c>
      <c r="G543" s="541">
        <v>302</v>
      </c>
      <c r="H543" s="560">
        <v>0.01</v>
      </c>
      <c r="I543" s="107">
        <v>1</v>
      </c>
      <c r="K543" s="370">
        <v>2061</v>
      </c>
      <c r="L543" s="371" t="s">
        <v>1118</v>
      </c>
      <c r="M543" s="372" t="s">
        <v>3173</v>
      </c>
      <c r="N543" s="373" t="s">
        <v>1119</v>
      </c>
      <c r="O543" s="374" t="s">
        <v>1120</v>
      </c>
      <c r="P543" s="374" t="s">
        <v>3175</v>
      </c>
    </row>
    <row r="544" spans="1:16" ht="12.75">
      <c r="A544">
        <v>537</v>
      </c>
      <c r="B544" s="557" t="s">
        <v>4099</v>
      </c>
      <c r="C544" t="s">
        <v>4100</v>
      </c>
      <c r="D544" s="107" t="s">
        <v>2439</v>
      </c>
      <c r="E544" s="540">
        <v>900</v>
      </c>
      <c r="F544" s="556">
        <v>120</v>
      </c>
      <c r="G544" s="541">
        <v>133</v>
      </c>
      <c r="H544" s="560">
        <v>0.01</v>
      </c>
      <c r="I544" s="107">
        <v>7</v>
      </c>
      <c r="K544" s="370">
        <v>2063</v>
      </c>
      <c r="L544" s="371" t="s">
        <v>1121</v>
      </c>
      <c r="M544" s="372" t="s">
        <v>3173</v>
      </c>
      <c r="N544" s="373" t="s">
        <v>1122</v>
      </c>
      <c r="O544" s="374" t="s">
        <v>1123</v>
      </c>
      <c r="P544" s="374" t="s">
        <v>3175</v>
      </c>
    </row>
    <row r="545" spans="1:16" ht="12.75">
      <c r="A545">
        <v>538</v>
      </c>
      <c r="B545" s="557">
        <v>14040</v>
      </c>
      <c r="C545" t="s">
        <v>4867</v>
      </c>
      <c r="D545" s="107" t="s">
        <v>2439</v>
      </c>
      <c r="E545" s="540">
        <v>440</v>
      </c>
      <c r="F545" s="556">
        <v>119</v>
      </c>
      <c r="G545" s="541">
        <v>271.54</v>
      </c>
      <c r="H545" s="560">
        <v>0.01</v>
      </c>
      <c r="I545" s="107">
        <v>1</v>
      </c>
      <c r="K545" s="370">
        <v>2064</v>
      </c>
      <c r="L545" s="371" t="s">
        <v>1124</v>
      </c>
      <c r="M545" s="372" t="s">
        <v>3173</v>
      </c>
      <c r="N545" s="373" t="s">
        <v>1125</v>
      </c>
      <c r="O545" s="374" t="s">
        <v>1126</v>
      </c>
      <c r="P545" s="374" t="s">
        <v>3175</v>
      </c>
    </row>
    <row r="546" spans="1:16" ht="12.75">
      <c r="A546">
        <v>539</v>
      </c>
      <c r="B546" s="557">
        <v>1220</v>
      </c>
      <c r="C546" t="s">
        <v>4868</v>
      </c>
      <c r="D546" s="107" t="s">
        <v>2522</v>
      </c>
      <c r="E546" s="540">
        <v>20</v>
      </c>
      <c r="F546" s="556">
        <v>119</v>
      </c>
      <c r="G546" s="541">
        <v>5964</v>
      </c>
      <c r="H546" s="560">
        <v>0.01</v>
      </c>
      <c r="I546" s="107">
        <v>6</v>
      </c>
      <c r="K546" s="370">
        <v>2065</v>
      </c>
      <c r="L546" s="371" t="s">
        <v>1127</v>
      </c>
      <c r="M546" s="372" t="s">
        <v>3173</v>
      </c>
      <c r="N546" s="373" t="s">
        <v>1128</v>
      </c>
      <c r="O546" s="374" t="s">
        <v>1129</v>
      </c>
      <c r="P546" s="374" t="s">
        <v>3175</v>
      </c>
    </row>
    <row r="547" spans="1:16" ht="12.75">
      <c r="A547">
        <v>540</v>
      </c>
      <c r="B547" s="557">
        <v>15058</v>
      </c>
      <c r="C547" t="s">
        <v>4869</v>
      </c>
      <c r="D547" s="107" t="s">
        <v>2439</v>
      </c>
      <c r="E547" s="540">
        <v>1983</v>
      </c>
      <c r="F547" s="556">
        <v>119</v>
      </c>
      <c r="G547" s="541">
        <v>60</v>
      </c>
      <c r="H547" s="560">
        <v>0.01</v>
      </c>
      <c r="I547" s="107">
        <v>1</v>
      </c>
      <c r="K547" s="370">
        <v>2069</v>
      </c>
      <c r="L547" s="371" t="s">
        <v>1130</v>
      </c>
      <c r="M547" s="372" t="s">
        <v>3173</v>
      </c>
      <c r="N547" s="373" t="s">
        <v>1131</v>
      </c>
      <c r="O547" s="374" t="s">
        <v>1132</v>
      </c>
      <c r="P547" s="374" t="s">
        <v>3175</v>
      </c>
    </row>
    <row r="548" spans="1:16" ht="12.75">
      <c r="A548">
        <v>541</v>
      </c>
      <c r="B548" s="557" t="s">
        <v>4870</v>
      </c>
      <c r="C548" t="s">
        <v>4871</v>
      </c>
      <c r="D548" s="107" t="s">
        <v>2441</v>
      </c>
      <c r="E548" s="540">
        <v>1</v>
      </c>
      <c r="F548" s="556">
        <v>117</v>
      </c>
      <c r="G548" s="541">
        <v>116915</v>
      </c>
      <c r="H548" s="560">
        <v>0.01</v>
      </c>
      <c r="I548" s="107">
        <v>1</v>
      </c>
      <c r="K548" s="370">
        <v>2070</v>
      </c>
      <c r="L548" s="371" t="s">
        <v>1133</v>
      </c>
      <c r="M548" s="372" t="s">
        <v>3173</v>
      </c>
      <c r="N548" s="373" t="s">
        <v>1134</v>
      </c>
      <c r="O548" s="374" t="s">
        <v>1135</v>
      </c>
      <c r="P548" s="374" t="s">
        <v>3175</v>
      </c>
    </row>
    <row r="549" spans="1:16" ht="12.75">
      <c r="A549">
        <v>542</v>
      </c>
      <c r="B549" s="557" t="s">
        <v>4872</v>
      </c>
      <c r="C549" t="s">
        <v>4873</v>
      </c>
      <c r="D549" s="107" t="s">
        <v>2439</v>
      </c>
      <c r="E549" s="540">
        <v>97</v>
      </c>
      <c r="F549" s="556">
        <v>117</v>
      </c>
      <c r="G549" s="541">
        <v>1204</v>
      </c>
      <c r="H549" s="560">
        <v>0.01</v>
      </c>
      <c r="I549" s="107">
        <v>1</v>
      </c>
      <c r="K549" s="370">
        <v>2071</v>
      </c>
      <c r="L549" s="371" t="s">
        <v>1136</v>
      </c>
      <c r="M549" s="372" t="s">
        <v>3173</v>
      </c>
      <c r="N549" s="373" t="s">
        <v>1137</v>
      </c>
      <c r="O549" s="374" t="s">
        <v>1138</v>
      </c>
      <c r="P549" s="374" t="s">
        <v>3175</v>
      </c>
    </row>
    <row r="550" spans="1:16" ht="12.75">
      <c r="A550">
        <v>543</v>
      </c>
      <c r="B550" s="557">
        <v>14126</v>
      </c>
      <c r="C550" t="s">
        <v>4874</v>
      </c>
      <c r="D550" s="107" t="s">
        <v>2439</v>
      </c>
      <c r="E550" s="540">
        <v>501</v>
      </c>
      <c r="F550" s="556">
        <v>117</v>
      </c>
      <c r="G550" s="541">
        <v>233.08</v>
      </c>
      <c r="H550" s="560">
        <v>0.01</v>
      </c>
      <c r="I550" s="107">
        <v>2</v>
      </c>
      <c r="K550" s="370">
        <v>2072</v>
      </c>
      <c r="L550" s="371" t="s">
        <v>1139</v>
      </c>
      <c r="M550" s="372" t="s">
        <v>3173</v>
      </c>
      <c r="N550" s="373" t="s">
        <v>1140</v>
      </c>
      <c r="O550" s="374" t="s">
        <v>1174</v>
      </c>
      <c r="P550" s="374" t="s">
        <v>3175</v>
      </c>
    </row>
    <row r="551" spans="1:16" ht="12.75">
      <c r="A551">
        <v>544</v>
      </c>
      <c r="B551" s="557">
        <v>1577</v>
      </c>
      <c r="C551" t="s">
        <v>4875</v>
      </c>
      <c r="D551" s="107" t="s">
        <v>2522</v>
      </c>
      <c r="E551">
        <v>26</v>
      </c>
      <c r="F551" s="556">
        <v>116</v>
      </c>
      <c r="G551" s="541">
        <v>4477.3</v>
      </c>
      <c r="H551" s="560">
        <v>0.01</v>
      </c>
      <c r="I551" s="107">
        <v>7</v>
      </c>
      <c r="K551" s="370">
        <v>2073</v>
      </c>
      <c r="L551" s="371" t="s">
        <v>1175</v>
      </c>
      <c r="M551" s="372" t="s">
        <v>3173</v>
      </c>
      <c r="N551" s="373" t="s">
        <v>1176</v>
      </c>
      <c r="O551" s="374" t="s">
        <v>1177</v>
      </c>
      <c r="P551" s="374" t="s">
        <v>3175</v>
      </c>
    </row>
    <row r="552" spans="1:16" ht="12.75">
      <c r="A552">
        <v>545</v>
      </c>
      <c r="B552" s="557" t="s">
        <v>4063</v>
      </c>
      <c r="C552" t="s">
        <v>4876</v>
      </c>
      <c r="D552" s="107" t="s">
        <v>2439</v>
      </c>
      <c r="E552" s="540">
        <v>2164</v>
      </c>
      <c r="F552" s="556">
        <v>116</v>
      </c>
      <c r="G552" s="541">
        <v>53.39</v>
      </c>
      <c r="H552" s="560">
        <v>0.01</v>
      </c>
      <c r="I552" s="107">
        <v>2</v>
      </c>
      <c r="K552" s="370">
        <v>2075</v>
      </c>
      <c r="L552" s="371" t="s">
        <v>1178</v>
      </c>
      <c r="M552" s="372" t="s">
        <v>3173</v>
      </c>
      <c r="N552" s="373" t="s">
        <v>1179</v>
      </c>
      <c r="O552" s="374" t="s">
        <v>1180</v>
      </c>
      <c r="P552" s="374" t="s">
        <v>3175</v>
      </c>
    </row>
    <row r="553" spans="1:16" ht="12.75">
      <c r="A553">
        <v>546</v>
      </c>
      <c r="B553" s="557">
        <v>4776</v>
      </c>
      <c r="C553" t="s">
        <v>4877</v>
      </c>
      <c r="D553" s="107" t="s">
        <v>2522</v>
      </c>
      <c r="E553" s="540">
        <v>12</v>
      </c>
      <c r="F553" s="556">
        <v>115</v>
      </c>
      <c r="G553" s="541">
        <v>9595.33</v>
      </c>
      <c r="H553" s="560">
        <v>0.01</v>
      </c>
      <c r="I553" s="107">
        <v>2</v>
      </c>
      <c r="K553" s="370">
        <v>2077</v>
      </c>
      <c r="L553" s="371" t="s">
        <v>1181</v>
      </c>
      <c r="M553" s="372" t="s">
        <v>3173</v>
      </c>
      <c r="N553" s="373" t="s">
        <v>1182</v>
      </c>
      <c r="O553" s="374" t="s">
        <v>1183</v>
      </c>
      <c r="P553" s="374" t="s">
        <v>3175</v>
      </c>
    </row>
    <row r="554" spans="1:16" ht="12.75">
      <c r="A554">
        <v>547</v>
      </c>
      <c r="B554" s="557">
        <v>14061</v>
      </c>
      <c r="C554" t="s">
        <v>4878</v>
      </c>
      <c r="D554" s="107" t="s">
        <v>2439</v>
      </c>
      <c r="E554">
        <v>834</v>
      </c>
      <c r="F554" s="556">
        <v>115</v>
      </c>
      <c r="G554" s="541">
        <v>137.88</v>
      </c>
      <c r="H554" s="560">
        <v>0.01</v>
      </c>
      <c r="I554" s="107">
        <v>3</v>
      </c>
      <c r="K554" s="370">
        <v>2078</v>
      </c>
      <c r="L554" s="371" t="s">
        <v>1184</v>
      </c>
      <c r="M554" s="372" t="s">
        <v>3173</v>
      </c>
      <c r="N554" s="373" t="s">
        <v>1185</v>
      </c>
      <c r="O554" s="374" t="s">
        <v>1186</v>
      </c>
      <c r="P554" s="374" t="s">
        <v>3175</v>
      </c>
    </row>
    <row r="555" spans="1:16" ht="12.75">
      <c r="A555">
        <v>548</v>
      </c>
      <c r="B555" s="557" t="s">
        <v>4008</v>
      </c>
      <c r="C555" t="s">
        <v>4879</v>
      </c>
      <c r="D555" s="107" t="s">
        <v>2522</v>
      </c>
      <c r="E555">
        <v>50</v>
      </c>
      <c r="F555" s="556">
        <v>115</v>
      </c>
      <c r="G555" s="541">
        <v>2296</v>
      </c>
      <c r="H555" s="560">
        <v>0.01</v>
      </c>
      <c r="I555" s="107">
        <v>12</v>
      </c>
      <c r="K555" s="370">
        <v>2081</v>
      </c>
      <c r="L555" s="371" t="s">
        <v>1187</v>
      </c>
      <c r="M555" s="372" t="s">
        <v>3173</v>
      </c>
      <c r="N555" s="373" t="s">
        <v>1188</v>
      </c>
      <c r="O555" s="374" t="s">
        <v>1189</v>
      </c>
      <c r="P555" s="374" t="s">
        <v>3175</v>
      </c>
    </row>
    <row r="556" spans="1:16" ht="12.75">
      <c r="A556">
        <v>549</v>
      </c>
      <c r="B556" s="557" t="s">
        <v>4112</v>
      </c>
      <c r="C556" t="s">
        <v>4113</v>
      </c>
      <c r="D556" s="107" t="s">
        <v>2439</v>
      </c>
      <c r="E556" s="540">
        <v>16290</v>
      </c>
      <c r="F556" s="556">
        <v>115</v>
      </c>
      <c r="G556" s="541">
        <v>7.04</v>
      </c>
      <c r="H556" s="560">
        <v>0.01</v>
      </c>
      <c r="I556" s="107">
        <v>45</v>
      </c>
      <c r="K556" s="370">
        <v>2082</v>
      </c>
      <c r="L556" s="371" t="s">
        <v>1190</v>
      </c>
      <c r="M556" s="372" t="s">
        <v>3173</v>
      </c>
      <c r="N556" s="373" t="s">
        <v>1191</v>
      </c>
      <c r="O556" s="374" t="s">
        <v>1192</v>
      </c>
      <c r="P556" s="374" t="s">
        <v>3175</v>
      </c>
    </row>
    <row r="557" spans="1:16" ht="12.75">
      <c r="A557">
        <v>550</v>
      </c>
      <c r="B557" s="557">
        <v>14152</v>
      </c>
      <c r="C557" t="s">
        <v>4880</v>
      </c>
      <c r="D557" s="107" t="s">
        <v>2522</v>
      </c>
      <c r="E557">
        <v>31</v>
      </c>
      <c r="F557" s="556">
        <v>115</v>
      </c>
      <c r="G557" s="541">
        <v>3693.55</v>
      </c>
      <c r="H557" s="560">
        <v>0.01</v>
      </c>
      <c r="I557" s="107">
        <v>3</v>
      </c>
      <c r="K557" s="370">
        <v>2083</v>
      </c>
      <c r="L557" s="371" t="s">
        <v>1193</v>
      </c>
      <c r="M557" s="372" t="s">
        <v>3173</v>
      </c>
      <c r="N557" s="373" t="s">
        <v>1194</v>
      </c>
      <c r="O557" s="374" t="s">
        <v>1195</v>
      </c>
      <c r="P557" s="374" t="s">
        <v>3175</v>
      </c>
    </row>
    <row r="558" spans="1:16" ht="12.75">
      <c r="A558">
        <v>551</v>
      </c>
      <c r="B558" s="557">
        <v>14058</v>
      </c>
      <c r="C558" t="s">
        <v>4881</v>
      </c>
      <c r="D558" s="107" t="s">
        <v>2439</v>
      </c>
      <c r="E558">
        <v>4296</v>
      </c>
      <c r="F558" s="556">
        <v>114</v>
      </c>
      <c r="G558" s="541">
        <v>26.52</v>
      </c>
      <c r="H558" s="560">
        <v>0.01</v>
      </c>
      <c r="I558" s="107">
        <v>5</v>
      </c>
      <c r="K558" s="370">
        <v>2084</v>
      </c>
      <c r="L558" s="371" t="s">
        <v>1196</v>
      </c>
      <c r="M558" s="372" t="s">
        <v>3173</v>
      </c>
      <c r="N558" s="373" t="s">
        <v>1197</v>
      </c>
      <c r="O558" s="374" t="s">
        <v>1198</v>
      </c>
      <c r="P558" s="374" t="s">
        <v>3175</v>
      </c>
    </row>
    <row r="559" spans="1:16" ht="12.75">
      <c r="A559">
        <v>552</v>
      </c>
      <c r="B559" s="557">
        <v>1434</v>
      </c>
      <c r="C559" t="s">
        <v>4882</v>
      </c>
      <c r="D559" s="107" t="s">
        <v>2522</v>
      </c>
      <c r="E559">
        <v>29</v>
      </c>
      <c r="F559" s="556">
        <v>112</v>
      </c>
      <c r="G559" s="541">
        <v>3867.58</v>
      </c>
      <c r="H559" s="560">
        <v>0.01</v>
      </c>
      <c r="I559" s="107">
        <v>7</v>
      </c>
      <c r="K559" s="370">
        <v>2086</v>
      </c>
      <c r="L559" s="371" t="s">
        <v>1199</v>
      </c>
      <c r="M559" s="372" t="s">
        <v>3173</v>
      </c>
      <c r="N559" s="373" t="s">
        <v>1200</v>
      </c>
      <c r="O559" s="374" t="s">
        <v>1872</v>
      </c>
      <c r="P559" s="374" t="s">
        <v>3175</v>
      </c>
    </row>
    <row r="560" spans="1:16" ht="12.75">
      <c r="A560">
        <v>553</v>
      </c>
      <c r="B560" s="557">
        <v>8900</v>
      </c>
      <c r="C560" t="s">
        <v>4883</v>
      </c>
      <c r="D560" s="107" t="s">
        <v>2522</v>
      </c>
      <c r="E560" s="540">
        <v>4</v>
      </c>
      <c r="F560" s="556">
        <v>112</v>
      </c>
      <c r="G560" s="541">
        <v>28000</v>
      </c>
      <c r="H560" s="560">
        <v>0.01</v>
      </c>
      <c r="I560" s="107">
        <v>1</v>
      </c>
      <c r="K560" s="370">
        <v>2087</v>
      </c>
      <c r="L560" s="371" t="s">
        <v>1873</v>
      </c>
      <c r="M560" s="372" t="s">
        <v>3173</v>
      </c>
      <c r="N560" s="373" t="s">
        <v>1874</v>
      </c>
      <c r="O560" s="374" t="s">
        <v>1875</v>
      </c>
      <c r="P560" s="374" t="s">
        <v>3175</v>
      </c>
    </row>
    <row r="561" spans="1:16" ht="12.75">
      <c r="A561">
        <v>554</v>
      </c>
      <c r="B561" s="557" t="s">
        <v>4884</v>
      </c>
      <c r="C561" t="s">
        <v>4885</v>
      </c>
      <c r="D561" s="107" t="s">
        <v>2441</v>
      </c>
      <c r="E561">
        <v>1</v>
      </c>
      <c r="F561" s="556">
        <v>112</v>
      </c>
      <c r="G561" s="541">
        <v>112000</v>
      </c>
      <c r="H561" s="560">
        <v>0.01</v>
      </c>
      <c r="I561" s="107">
        <v>1</v>
      </c>
      <c r="K561" s="370">
        <v>2088</v>
      </c>
      <c r="L561" s="371" t="s">
        <v>1876</v>
      </c>
      <c r="M561" s="372" t="s">
        <v>3173</v>
      </c>
      <c r="N561" s="373" t="s">
        <v>1877</v>
      </c>
      <c r="O561" s="374" t="s">
        <v>1878</v>
      </c>
      <c r="P561" s="374" t="s">
        <v>3175</v>
      </c>
    </row>
    <row r="562" spans="1:16" ht="12.75">
      <c r="A562">
        <v>555</v>
      </c>
      <c r="B562" s="557">
        <v>14094</v>
      </c>
      <c r="C562" t="s">
        <v>4886</v>
      </c>
      <c r="D562" s="107" t="s">
        <v>2522</v>
      </c>
      <c r="E562">
        <v>28</v>
      </c>
      <c r="F562" s="556">
        <v>111</v>
      </c>
      <c r="G562" s="541">
        <v>3971.45</v>
      </c>
      <c r="H562" s="560">
        <v>0.01</v>
      </c>
      <c r="I562" s="107">
        <v>10</v>
      </c>
      <c r="K562" s="370">
        <v>2089</v>
      </c>
      <c r="L562" s="371" t="s">
        <v>1879</v>
      </c>
      <c r="M562" s="372" t="s">
        <v>3173</v>
      </c>
      <c r="N562" s="373" t="s">
        <v>1880</v>
      </c>
      <c r="O562" s="374" t="s">
        <v>1881</v>
      </c>
      <c r="P562" s="374" t="s">
        <v>3175</v>
      </c>
    </row>
    <row r="563" spans="1:16" ht="12.75">
      <c r="A563">
        <v>556</v>
      </c>
      <c r="B563" s="557">
        <v>14031</v>
      </c>
      <c r="C563" t="s">
        <v>4887</v>
      </c>
      <c r="D563" s="107" t="s">
        <v>2522</v>
      </c>
      <c r="E563">
        <v>2</v>
      </c>
      <c r="F563" s="556">
        <v>111</v>
      </c>
      <c r="G563" s="541">
        <v>55500</v>
      </c>
      <c r="H563" s="560">
        <v>0.01</v>
      </c>
      <c r="I563" s="107">
        <v>2</v>
      </c>
      <c r="K563" s="370">
        <v>2091</v>
      </c>
      <c r="L563" s="371" t="s">
        <v>1882</v>
      </c>
      <c r="M563" s="372" t="s">
        <v>3173</v>
      </c>
      <c r="N563" s="373" t="s">
        <v>1883</v>
      </c>
      <c r="O563" s="374" t="s">
        <v>1882</v>
      </c>
      <c r="P563" s="374" t="s">
        <v>3175</v>
      </c>
    </row>
    <row r="564" spans="1:16" ht="12.75">
      <c r="A564">
        <v>557</v>
      </c>
      <c r="B564" s="557" t="s">
        <v>4888</v>
      </c>
      <c r="C564" t="s">
        <v>4889</v>
      </c>
      <c r="D564" s="107" t="s">
        <v>2522</v>
      </c>
      <c r="E564" s="540">
        <v>3</v>
      </c>
      <c r="F564" s="556">
        <v>111</v>
      </c>
      <c r="G564" s="541">
        <v>37000</v>
      </c>
      <c r="H564" s="560">
        <v>0.01</v>
      </c>
      <c r="I564" s="107">
        <v>1</v>
      </c>
      <c r="K564" s="370">
        <v>2099</v>
      </c>
      <c r="L564" s="371" t="s">
        <v>1884</v>
      </c>
      <c r="M564" s="372" t="s">
        <v>3173</v>
      </c>
      <c r="N564" s="373" t="s">
        <v>1885</v>
      </c>
      <c r="O564" s="374" t="s">
        <v>1886</v>
      </c>
      <c r="P564" s="374" t="s">
        <v>3175</v>
      </c>
    </row>
    <row r="565" spans="1:16" ht="12.75">
      <c r="A565">
        <v>558</v>
      </c>
      <c r="B565" s="557">
        <v>14077</v>
      </c>
      <c r="C565" t="s">
        <v>4890</v>
      </c>
      <c r="D565" s="107" t="s">
        <v>2522</v>
      </c>
      <c r="E565" s="540">
        <v>5</v>
      </c>
      <c r="F565" s="556">
        <v>111</v>
      </c>
      <c r="G565" s="541">
        <v>22167.93</v>
      </c>
      <c r="H565" s="560">
        <v>0.01</v>
      </c>
      <c r="I565" s="107">
        <v>3</v>
      </c>
      <c r="K565" s="370">
        <v>2101</v>
      </c>
      <c r="L565" s="371" t="s">
        <v>1887</v>
      </c>
      <c r="M565" s="372" t="s">
        <v>3173</v>
      </c>
      <c r="N565" s="373" t="s">
        <v>1888</v>
      </c>
      <c r="O565" s="374" t="s">
        <v>1889</v>
      </c>
      <c r="P565" s="374" t="s">
        <v>3175</v>
      </c>
    </row>
    <row r="566" spans="1:16" ht="12.75">
      <c r="A566">
        <v>559</v>
      </c>
      <c r="B566" s="557" t="s">
        <v>4891</v>
      </c>
      <c r="C566" t="s">
        <v>4892</v>
      </c>
      <c r="D566" s="107" t="s">
        <v>2439</v>
      </c>
      <c r="E566" s="540">
        <v>40</v>
      </c>
      <c r="F566" s="556">
        <v>111</v>
      </c>
      <c r="G566" s="541">
        <v>2750</v>
      </c>
      <c r="H566" s="560">
        <v>0.01</v>
      </c>
      <c r="I566" s="107">
        <v>1</v>
      </c>
      <c r="K566" s="370">
        <v>2107</v>
      </c>
      <c r="L566" s="371" t="s">
        <v>1890</v>
      </c>
      <c r="M566" s="372" t="s">
        <v>3173</v>
      </c>
      <c r="N566" s="373" t="s">
        <v>1891</v>
      </c>
      <c r="O566" s="374" t="s">
        <v>1890</v>
      </c>
      <c r="P566" s="374" t="s">
        <v>3175</v>
      </c>
    </row>
    <row r="567" spans="1:16" ht="12.75">
      <c r="A567">
        <v>560</v>
      </c>
      <c r="B567" s="557">
        <v>5</v>
      </c>
      <c r="C567" t="s">
        <v>4893</v>
      </c>
      <c r="D567" s="107" t="s">
        <v>1772</v>
      </c>
      <c r="E567">
        <v>44531</v>
      </c>
      <c r="F567" s="556">
        <v>110</v>
      </c>
      <c r="G567" s="541">
        <v>2.48</v>
      </c>
      <c r="H567" s="560">
        <v>0.01</v>
      </c>
      <c r="I567" s="107">
        <v>2</v>
      </c>
      <c r="K567" s="370">
        <v>2109</v>
      </c>
      <c r="L567" s="371" t="s">
        <v>1892</v>
      </c>
      <c r="M567" s="372" t="s">
        <v>1893</v>
      </c>
      <c r="N567" s="373" t="s">
        <v>1894</v>
      </c>
      <c r="O567" s="374" t="s">
        <v>1892</v>
      </c>
      <c r="P567" s="374" t="s">
        <v>3197</v>
      </c>
    </row>
    <row r="568" spans="1:16" ht="12.75">
      <c r="A568">
        <v>561</v>
      </c>
      <c r="B568" s="557" t="s">
        <v>4106</v>
      </c>
      <c r="C568" t="s">
        <v>4894</v>
      </c>
      <c r="D568" s="107" t="s">
        <v>2439</v>
      </c>
      <c r="E568">
        <v>11563</v>
      </c>
      <c r="F568" s="556">
        <v>110</v>
      </c>
      <c r="G568" s="541">
        <v>9.48</v>
      </c>
      <c r="H568" s="560">
        <v>0.01</v>
      </c>
      <c r="I568" s="107">
        <v>28</v>
      </c>
      <c r="K568" s="370">
        <v>2110</v>
      </c>
      <c r="L568" s="371" t="s">
        <v>1895</v>
      </c>
      <c r="M568" s="372" t="s">
        <v>1893</v>
      </c>
      <c r="N568" s="373" t="s">
        <v>1896</v>
      </c>
      <c r="O568" s="374" t="s">
        <v>1895</v>
      </c>
      <c r="P568" s="374" t="s">
        <v>3197</v>
      </c>
    </row>
    <row r="569" spans="1:16" ht="12.75">
      <c r="A569">
        <v>562</v>
      </c>
      <c r="B569" s="557">
        <v>15132</v>
      </c>
      <c r="C569" t="s">
        <v>4895</v>
      </c>
      <c r="D569" s="107" t="s">
        <v>2439</v>
      </c>
      <c r="E569">
        <v>248</v>
      </c>
      <c r="F569" s="556">
        <v>109</v>
      </c>
      <c r="G569" s="541">
        <v>440</v>
      </c>
      <c r="H569" s="560">
        <v>0.01</v>
      </c>
      <c r="I569" s="107">
        <v>1</v>
      </c>
      <c r="K569" s="370">
        <v>2115</v>
      </c>
      <c r="L569" s="371" t="s">
        <v>1897</v>
      </c>
      <c r="M569" s="372" t="s">
        <v>751</v>
      </c>
      <c r="N569" s="373" t="s">
        <v>1898</v>
      </c>
      <c r="O569" s="374" t="s">
        <v>1897</v>
      </c>
      <c r="P569" s="374" t="s">
        <v>754</v>
      </c>
    </row>
    <row r="570" spans="1:16" ht="12.75">
      <c r="A570">
        <v>563</v>
      </c>
      <c r="B570" s="557">
        <v>2160</v>
      </c>
      <c r="C570" t="s">
        <v>4896</v>
      </c>
      <c r="D570" s="107" t="s">
        <v>2439</v>
      </c>
      <c r="E570">
        <v>245189</v>
      </c>
      <c r="F570" s="556">
        <v>109</v>
      </c>
      <c r="G570" s="541">
        <v>0.44</v>
      </c>
      <c r="H570" s="560">
        <v>0.01</v>
      </c>
      <c r="I570" s="107">
        <v>70</v>
      </c>
      <c r="K570" s="370">
        <v>2116</v>
      </c>
      <c r="L570" s="371" t="s">
        <v>1899</v>
      </c>
      <c r="M570" s="372" t="s">
        <v>751</v>
      </c>
      <c r="N570" s="373" t="s">
        <v>1900</v>
      </c>
      <c r="O570" s="374" t="s">
        <v>1899</v>
      </c>
      <c r="P570" s="374" t="s">
        <v>754</v>
      </c>
    </row>
    <row r="571" spans="1:14" ht="12.75">
      <c r="A571">
        <v>564</v>
      </c>
      <c r="B571" s="557">
        <v>14034</v>
      </c>
      <c r="C571" t="s">
        <v>4897</v>
      </c>
      <c r="D571" s="107" t="s">
        <v>2439</v>
      </c>
      <c r="E571" s="540">
        <v>1244</v>
      </c>
      <c r="F571" s="556">
        <v>109</v>
      </c>
      <c r="G571" s="541">
        <v>87.29</v>
      </c>
      <c r="H571" s="560">
        <v>0.01</v>
      </c>
      <c r="I571" s="107">
        <v>2</v>
      </c>
      <c r="K571" s="370">
        <v>2120</v>
      </c>
      <c r="L571" s="371" t="s">
        <v>1901</v>
      </c>
      <c r="M571" s="372" t="s">
        <v>2821</v>
      </c>
      <c r="N571" s="373"/>
    </row>
    <row r="572" spans="1:14" ht="12.75">
      <c r="A572">
        <v>565</v>
      </c>
      <c r="B572" s="557" t="s">
        <v>4898</v>
      </c>
      <c r="C572" t="s">
        <v>4899</v>
      </c>
      <c r="D572" s="107" t="s">
        <v>2522</v>
      </c>
      <c r="E572">
        <v>4</v>
      </c>
      <c r="F572" s="556">
        <v>108</v>
      </c>
      <c r="G572" s="541">
        <v>26950</v>
      </c>
      <c r="H572" s="560">
        <v>0.01</v>
      </c>
      <c r="I572" s="107">
        <v>1</v>
      </c>
      <c r="K572" s="370">
        <v>2121</v>
      </c>
      <c r="L572" s="371" t="s">
        <v>1902</v>
      </c>
      <c r="M572" s="372" t="s">
        <v>2821</v>
      </c>
      <c r="N572" s="373"/>
    </row>
    <row r="573" spans="1:16" ht="12.75">
      <c r="A573">
        <v>566</v>
      </c>
      <c r="B573" s="557">
        <v>4844</v>
      </c>
      <c r="C573" t="s">
        <v>4900</v>
      </c>
      <c r="D573" s="107" t="s">
        <v>2439</v>
      </c>
      <c r="E573">
        <v>45702</v>
      </c>
      <c r="F573" s="556">
        <v>108</v>
      </c>
      <c r="G573" s="541">
        <v>2.36</v>
      </c>
      <c r="H573" s="560">
        <v>0.01</v>
      </c>
      <c r="I573" s="107">
        <v>25</v>
      </c>
      <c r="K573" s="370">
        <v>2155</v>
      </c>
      <c r="L573" s="371" t="s">
        <v>1903</v>
      </c>
      <c r="M573" s="372" t="s">
        <v>3173</v>
      </c>
      <c r="N573" s="373" t="s">
        <v>1904</v>
      </c>
      <c r="O573" s="374" t="s">
        <v>1903</v>
      </c>
      <c r="P573" s="374" t="s">
        <v>3175</v>
      </c>
    </row>
    <row r="574" spans="1:16" ht="12.75">
      <c r="A574">
        <v>567</v>
      </c>
      <c r="B574" s="557">
        <v>1493</v>
      </c>
      <c r="C574" t="s">
        <v>4901</v>
      </c>
      <c r="D574" s="107" t="s">
        <v>2522</v>
      </c>
      <c r="E574">
        <v>19</v>
      </c>
      <c r="F574" s="556">
        <v>106</v>
      </c>
      <c r="G574" s="541">
        <v>5604.72</v>
      </c>
      <c r="H574" s="560">
        <v>0.01</v>
      </c>
      <c r="I574" s="107">
        <v>7</v>
      </c>
      <c r="K574" s="370">
        <v>2157</v>
      </c>
      <c r="L574" s="371" t="s">
        <v>1905</v>
      </c>
      <c r="M574" s="372" t="s">
        <v>3173</v>
      </c>
      <c r="N574" s="373" t="s">
        <v>1906</v>
      </c>
      <c r="O574" s="374" t="s">
        <v>1905</v>
      </c>
      <c r="P574" s="374" t="s">
        <v>3175</v>
      </c>
    </row>
    <row r="575" spans="1:16" ht="12.75">
      <c r="A575">
        <v>568</v>
      </c>
      <c r="B575" s="557">
        <v>1830</v>
      </c>
      <c r="C575" t="s">
        <v>4902</v>
      </c>
      <c r="D575" s="107" t="s">
        <v>2439</v>
      </c>
      <c r="E575">
        <v>3000</v>
      </c>
      <c r="F575" s="556">
        <v>106</v>
      </c>
      <c r="G575" s="541">
        <v>35.49</v>
      </c>
      <c r="H575" s="560">
        <v>0.01</v>
      </c>
      <c r="I575" s="107">
        <v>6</v>
      </c>
      <c r="K575" s="370">
        <v>2158</v>
      </c>
      <c r="L575" s="371" t="s">
        <v>1907</v>
      </c>
      <c r="M575" s="372" t="s">
        <v>3173</v>
      </c>
      <c r="N575" s="373" t="s">
        <v>1908</v>
      </c>
      <c r="O575" s="374" t="s">
        <v>1907</v>
      </c>
      <c r="P575" s="374" t="s">
        <v>3175</v>
      </c>
    </row>
    <row r="576" spans="1:16" ht="12.75">
      <c r="A576">
        <v>569</v>
      </c>
      <c r="B576" s="557">
        <v>5998</v>
      </c>
      <c r="C576" t="s">
        <v>4903</v>
      </c>
      <c r="D576" s="107" t="s">
        <v>1773</v>
      </c>
      <c r="E576">
        <v>2658</v>
      </c>
      <c r="F576" s="556">
        <v>106</v>
      </c>
      <c r="G576" s="541">
        <v>40</v>
      </c>
      <c r="H576" s="560">
        <v>0.01</v>
      </c>
      <c r="I576" s="107">
        <v>1</v>
      </c>
      <c r="K576" s="370">
        <v>2159</v>
      </c>
      <c r="L576" s="371" t="s">
        <v>1909</v>
      </c>
      <c r="M576" s="372" t="s">
        <v>751</v>
      </c>
      <c r="N576" s="373" t="s">
        <v>1910</v>
      </c>
      <c r="O576" s="374" t="s">
        <v>1909</v>
      </c>
      <c r="P576" s="374" t="s">
        <v>754</v>
      </c>
    </row>
    <row r="577" spans="1:16" ht="12.75">
      <c r="A577">
        <v>570</v>
      </c>
      <c r="B577" s="557">
        <v>6450</v>
      </c>
      <c r="C577" t="s">
        <v>4904</v>
      </c>
      <c r="D577" s="107" t="s">
        <v>2522</v>
      </c>
      <c r="E577">
        <v>40</v>
      </c>
      <c r="F577" s="556">
        <v>106</v>
      </c>
      <c r="G577" s="541">
        <v>2650.45</v>
      </c>
      <c r="H577" s="560">
        <v>0.01</v>
      </c>
      <c r="I577" s="107">
        <v>1</v>
      </c>
      <c r="K577" s="370">
        <v>2165</v>
      </c>
      <c r="L577" s="371" t="s">
        <v>952</v>
      </c>
      <c r="M577" s="372" t="s">
        <v>3173</v>
      </c>
      <c r="N577" s="373" t="s">
        <v>953</v>
      </c>
      <c r="O577" s="374" t="s">
        <v>952</v>
      </c>
      <c r="P577" s="374" t="s">
        <v>3175</v>
      </c>
    </row>
    <row r="578" spans="1:16" ht="12.75">
      <c r="A578">
        <v>571</v>
      </c>
      <c r="B578" s="557">
        <v>14106</v>
      </c>
      <c r="C578" t="s">
        <v>4905</v>
      </c>
      <c r="D578" s="107" t="s">
        <v>2522</v>
      </c>
      <c r="E578">
        <v>37</v>
      </c>
      <c r="F578" s="556">
        <v>106</v>
      </c>
      <c r="G578" s="541">
        <v>2864.92</v>
      </c>
      <c r="H578" s="560">
        <v>0.01</v>
      </c>
      <c r="I578" s="107">
        <v>8</v>
      </c>
      <c r="K578" s="370">
        <v>2166</v>
      </c>
      <c r="L578" s="371" t="s">
        <v>954</v>
      </c>
      <c r="M578" s="372" t="s">
        <v>955</v>
      </c>
      <c r="N578" s="373" t="s">
        <v>956</v>
      </c>
      <c r="O578" s="374" t="s">
        <v>954</v>
      </c>
      <c r="P578" s="374" t="s">
        <v>957</v>
      </c>
    </row>
    <row r="579" spans="1:16" ht="12.75">
      <c r="A579">
        <v>572</v>
      </c>
      <c r="B579" s="557" t="s">
        <v>4906</v>
      </c>
      <c r="C579" t="s">
        <v>4907</v>
      </c>
      <c r="D579" s="107" t="s">
        <v>2439</v>
      </c>
      <c r="E579">
        <v>451</v>
      </c>
      <c r="F579" s="556">
        <v>106</v>
      </c>
      <c r="G579" s="541">
        <v>234.01</v>
      </c>
      <c r="H579" s="560">
        <v>0.01</v>
      </c>
      <c r="I579" s="107">
        <v>1</v>
      </c>
      <c r="K579" s="370">
        <v>2167</v>
      </c>
      <c r="L579" s="371" t="s">
        <v>958</v>
      </c>
      <c r="M579" s="372" t="s">
        <v>955</v>
      </c>
      <c r="N579" s="373" t="s">
        <v>959</v>
      </c>
      <c r="O579" s="374" t="s">
        <v>958</v>
      </c>
      <c r="P579" s="374" t="s">
        <v>957</v>
      </c>
    </row>
    <row r="580" spans="1:14" ht="12.75">
      <c r="A580">
        <v>573</v>
      </c>
      <c r="B580" s="557" t="s">
        <v>4908</v>
      </c>
      <c r="C580" t="s">
        <v>4909</v>
      </c>
      <c r="D580" s="107" t="s">
        <v>2522</v>
      </c>
      <c r="E580">
        <v>7</v>
      </c>
      <c r="F580" s="556">
        <v>105</v>
      </c>
      <c r="G580" s="541">
        <v>15000</v>
      </c>
      <c r="H580" s="560">
        <v>0.01</v>
      </c>
      <c r="I580" s="107">
        <v>1</v>
      </c>
      <c r="K580" s="370">
        <v>2180</v>
      </c>
      <c r="L580" s="371" t="s">
        <v>960</v>
      </c>
      <c r="M580" s="372" t="s">
        <v>2821</v>
      </c>
      <c r="N580" s="373"/>
    </row>
    <row r="581" spans="1:16" ht="12.75">
      <c r="A581">
        <v>574</v>
      </c>
      <c r="B581" s="557">
        <v>1812</v>
      </c>
      <c r="C581" t="s">
        <v>4910</v>
      </c>
      <c r="D581" s="107" t="s">
        <v>2439</v>
      </c>
      <c r="E581">
        <v>5221</v>
      </c>
      <c r="F581" s="556">
        <v>105</v>
      </c>
      <c r="G581" s="541">
        <v>20.04</v>
      </c>
      <c r="H581" s="560">
        <v>0.01</v>
      </c>
      <c r="I581" s="107">
        <v>5</v>
      </c>
      <c r="K581" s="370">
        <v>2181</v>
      </c>
      <c r="L581" s="371" t="s">
        <v>961</v>
      </c>
      <c r="M581" s="372" t="s">
        <v>962</v>
      </c>
      <c r="N581" s="373" t="s">
        <v>963</v>
      </c>
      <c r="O581" s="374" t="s">
        <v>961</v>
      </c>
      <c r="P581" s="374" t="s">
        <v>964</v>
      </c>
    </row>
    <row r="582" spans="1:14" ht="12.75">
      <c r="A582">
        <v>575</v>
      </c>
      <c r="B582" s="557">
        <v>2187</v>
      </c>
      <c r="C582" t="s">
        <v>4584</v>
      </c>
      <c r="D582" s="107" t="s">
        <v>2522</v>
      </c>
      <c r="E582">
        <v>15</v>
      </c>
      <c r="F582" s="556">
        <v>104</v>
      </c>
      <c r="G582" s="541">
        <v>6946.67</v>
      </c>
      <c r="H582" s="560">
        <v>0.01</v>
      </c>
      <c r="I582" s="107">
        <v>3</v>
      </c>
      <c r="K582" s="370">
        <v>2182</v>
      </c>
      <c r="L582" s="371" t="s">
        <v>965</v>
      </c>
      <c r="M582" s="372" t="s">
        <v>2821</v>
      </c>
      <c r="N582" s="373"/>
    </row>
    <row r="583" spans="1:16" ht="12.75">
      <c r="A583">
        <v>576</v>
      </c>
      <c r="B583" s="557" t="s">
        <v>4240</v>
      </c>
      <c r="C583" t="s">
        <v>4911</v>
      </c>
      <c r="D583" s="107" t="s">
        <v>2439</v>
      </c>
      <c r="E583">
        <v>392</v>
      </c>
      <c r="F583" s="556">
        <v>104</v>
      </c>
      <c r="G583" s="541">
        <v>265.75</v>
      </c>
      <c r="H583" s="560">
        <v>0.01</v>
      </c>
      <c r="I583" s="107">
        <v>4</v>
      </c>
      <c r="K583" s="370">
        <v>2183</v>
      </c>
      <c r="L583" s="371" t="s">
        <v>966</v>
      </c>
      <c r="M583" s="372" t="s">
        <v>3195</v>
      </c>
      <c r="N583" s="373" t="s">
        <v>967</v>
      </c>
      <c r="O583" s="374" t="s">
        <v>966</v>
      </c>
      <c r="P583" s="374" t="s">
        <v>3197</v>
      </c>
    </row>
    <row r="584" spans="1:16" ht="12.75">
      <c r="A584">
        <v>577</v>
      </c>
      <c r="B584" s="557">
        <v>1002</v>
      </c>
      <c r="C584" t="s">
        <v>4912</v>
      </c>
      <c r="D584" s="107" t="s">
        <v>2439</v>
      </c>
      <c r="E584">
        <v>3913</v>
      </c>
      <c r="F584" s="556">
        <v>104</v>
      </c>
      <c r="G584" s="541">
        <v>26.46</v>
      </c>
      <c r="H584" s="560">
        <v>0.01</v>
      </c>
      <c r="I584" s="107">
        <v>3</v>
      </c>
      <c r="K584" s="370">
        <v>2184</v>
      </c>
      <c r="L584" s="371" t="s">
        <v>968</v>
      </c>
      <c r="M584" s="372" t="s">
        <v>3195</v>
      </c>
      <c r="N584" s="373" t="s">
        <v>969</v>
      </c>
      <c r="O584" s="374" t="s">
        <v>968</v>
      </c>
      <c r="P584" s="374" t="s">
        <v>3197</v>
      </c>
    </row>
    <row r="585" spans="1:14" ht="12.75">
      <c r="A585">
        <v>578</v>
      </c>
      <c r="B585" s="557">
        <v>14004</v>
      </c>
      <c r="C585" t="s">
        <v>4913</v>
      </c>
      <c r="D585" s="107" t="s">
        <v>2439</v>
      </c>
      <c r="E585">
        <v>1250</v>
      </c>
      <c r="F585" s="556">
        <v>103</v>
      </c>
      <c r="G585" s="541">
        <v>82.49</v>
      </c>
      <c r="H585" s="560">
        <v>0.01</v>
      </c>
      <c r="I585" s="107">
        <v>4</v>
      </c>
      <c r="K585" s="370">
        <v>2185</v>
      </c>
      <c r="L585" s="371" t="s">
        <v>970</v>
      </c>
      <c r="M585" s="372" t="s">
        <v>2821</v>
      </c>
      <c r="N585" s="373"/>
    </row>
    <row r="586" spans="1:14" ht="12.75">
      <c r="A586">
        <v>579</v>
      </c>
      <c r="B586" s="557">
        <v>1876</v>
      </c>
      <c r="C586" t="s">
        <v>4914</v>
      </c>
      <c r="D586" s="107" t="s">
        <v>2439</v>
      </c>
      <c r="E586">
        <v>1692</v>
      </c>
      <c r="F586" s="556">
        <v>103</v>
      </c>
      <c r="G586" s="541">
        <v>60.74</v>
      </c>
      <c r="H586" s="560">
        <v>0.01</v>
      </c>
      <c r="I586" s="107">
        <v>5</v>
      </c>
      <c r="K586" s="370">
        <v>2186</v>
      </c>
      <c r="L586" s="371" t="s">
        <v>971</v>
      </c>
      <c r="M586" s="372" t="s">
        <v>2821</v>
      </c>
      <c r="N586" s="373"/>
    </row>
    <row r="587" spans="1:14" ht="12.75">
      <c r="A587">
        <v>580</v>
      </c>
      <c r="B587" s="557" t="s">
        <v>4200</v>
      </c>
      <c r="C587" t="s">
        <v>4915</v>
      </c>
      <c r="D587" s="107" t="s">
        <v>1772</v>
      </c>
      <c r="E587">
        <v>1198</v>
      </c>
      <c r="F587" s="556">
        <v>102</v>
      </c>
      <c r="G587" s="541">
        <v>85</v>
      </c>
      <c r="H587" s="560">
        <v>0.01</v>
      </c>
      <c r="I587" s="107">
        <v>1</v>
      </c>
      <c r="K587" s="370">
        <v>2187</v>
      </c>
      <c r="L587" s="371" t="s">
        <v>972</v>
      </c>
      <c r="M587" s="372" t="s">
        <v>2821</v>
      </c>
      <c r="N587" s="373"/>
    </row>
    <row r="588" spans="1:16" ht="12.75">
      <c r="A588">
        <v>581</v>
      </c>
      <c r="B588" s="557" t="s">
        <v>4916</v>
      </c>
      <c r="C588" t="s">
        <v>4917</v>
      </c>
      <c r="D588" s="107" t="s">
        <v>2439</v>
      </c>
      <c r="E588">
        <v>625</v>
      </c>
      <c r="F588" s="556">
        <v>102</v>
      </c>
      <c r="G588" s="541">
        <v>162.86</v>
      </c>
      <c r="H588" s="560">
        <v>0.01</v>
      </c>
      <c r="I588" s="107">
        <v>1</v>
      </c>
      <c r="K588" s="370">
        <v>2188</v>
      </c>
      <c r="L588" s="371" t="s">
        <v>973</v>
      </c>
      <c r="M588" s="372" t="s">
        <v>974</v>
      </c>
      <c r="N588" s="373" t="s">
        <v>975</v>
      </c>
      <c r="O588" s="374" t="s">
        <v>973</v>
      </c>
      <c r="P588" s="374" t="s">
        <v>3175</v>
      </c>
    </row>
    <row r="589" spans="1:16" ht="12.75">
      <c r="A589">
        <v>582</v>
      </c>
      <c r="B589" s="557">
        <v>14015</v>
      </c>
      <c r="C589" t="s">
        <v>4918</v>
      </c>
      <c r="D589" s="107" t="s">
        <v>2439</v>
      </c>
      <c r="E589">
        <v>467</v>
      </c>
      <c r="F589" s="556">
        <v>101</v>
      </c>
      <c r="G589" s="541">
        <v>216.66</v>
      </c>
      <c r="H589" s="560">
        <v>0.01</v>
      </c>
      <c r="I589" s="107">
        <v>2</v>
      </c>
      <c r="K589" s="370">
        <v>2189</v>
      </c>
      <c r="L589" s="371" t="s">
        <v>976</v>
      </c>
      <c r="M589" s="372" t="s">
        <v>3195</v>
      </c>
      <c r="N589" s="373" t="s">
        <v>977</v>
      </c>
      <c r="O589" s="374" t="s">
        <v>976</v>
      </c>
      <c r="P589" s="374" t="s">
        <v>3197</v>
      </c>
    </row>
    <row r="590" spans="1:14" ht="12.75">
      <c r="A590">
        <v>583</v>
      </c>
      <c r="B590" s="557">
        <v>210</v>
      </c>
      <c r="C590" t="s">
        <v>4919</v>
      </c>
      <c r="D590" s="107" t="s">
        <v>1771</v>
      </c>
      <c r="E590">
        <v>770</v>
      </c>
      <c r="F590" s="556">
        <v>100</v>
      </c>
      <c r="G590" s="541">
        <v>130</v>
      </c>
      <c r="H590" s="560">
        <v>0.01</v>
      </c>
      <c r="I590" s="107">
        <v>1</v>
      </c>
      <c r="K590" s="370">
        <v>2190</v>
      </c>
      <c r="L590" s="371" t="s">
        <v>978</v>
      </c>
      <c r="M590" s="372" t="s">
        <v>2821</v>
      </c>
      <c r="N590" s="373"/>
    </row>
    <row r="591" spans="1:14" ht="12.75">
      <c r="A591">
        <v>584</v>
      </c>
      <c r="B591" s="557">
        <v>3296</v>
      </c>
      <c r="C591" t="s">
        <v>4920</v>
      </c>
      <c r="D591" s="107" t="s">
        <v>2439</v>
      </c>
      <c r="E591">
        <v>184</v>
      </c>
      <c r="F591" s="556">
        <v>100</v>
      </c>
      <c r="G591" s="541">
        <v>544.73</v>
      </c>
      <c r="H591" s="560">
        <v>0.01</v>
      </c>
      <c r="I591" s="107">
        <v>2</v>
      </c>
      <c r="K591" s="370">
        <v>2191</v>
      </c>
      <c r="L591" s="371" t="s">
        <v>979</v>
      </c>
      <c r="M591" s="372" t="s">
        <v>2821</v>
      </c>
      <c r="N591" s="373"/>
    </row>
    <row r="592" spans="1:16" ht="12.75">
      <c r="A592">
        <v>585</v>
      </c>
      <c r="B592" s="557" t="s">
        <v>4020</v>
      </c>
      <c r="C592" t="s">
        <v>4921</v>
      </c>
      <c r="D592" s="107" t="s">
        <v>2522</v>
      </c>
      <c r="E592">
        <v>61</v>
      </c>
      <c r="F592" s="556">
        <v>100</v>
      </c>
      <c r="G592" s="541">
        <v>1632.85</v>
      </c>
      <c r="H592" s="560">
        <v>0.01</v>
      </c>
      <c r="I592" s="107">
        <v>12</v>
      </c>
      <c r="K592" s="370">
        <v>2200</v>
      </c>
      <c r="L592" s="371" t="s">
        <v>980</v>
      </c>
      <c r="M592" s="372" t="s">
        <v>3195</v>
      </c>
      <c r="N592" s="373" t="s">
        <v>981</v>
      </c>
      <c r="O592" s="374" t="s">
        <v>980</v>
      </c>
      <c r="P592" s="374" t="s">
        <v>3197</v>
      </c>
    </row>
    <row r="593" spans="1:16" ht="12.75">
      <c r="A593">
        <v>586</v>
      </c>
      <c r="B593" s="557" t="s">
        <v>4212</v>
      </c>
      <c r="C593" t="s">
        <v>4922</v>
      </c>
      <c r="D593" s="107" t="s">
        <v>2522</v>
      </c>
      <c r="E593">
        <v>7</v>
      </c>
      <c r="F593" s="556">
        <v>99</v>
      </c>
      <c r="G593" s="541">
        <v>14085.71</v>
      </c>
      <c r="H593" s="560">
        <v>0.01</v>
      </c>
      <c r="I593" s="107">
        <v>2</v>
      </c>
      <c r="K593" s="370">
        <v>2203</v>
      </c>
      <c r="L593" s="371" t="s">
        <v>982</v>
      </c>
      <c r="M593" s="372" t="s">
        <v>3195</v>
      </c>
      <c r="N593" s="373" t="s">
        <v>983</v>
      </c>
      <c r="O593" s="374" t="s">
        <v>982</v>
      </c>
      <c r="P593" s="374" t="s">
        <v>3197</v>
      </c>
    </row>
    <row r="594" spans="1:16" ht="12.75">
      <c r="A594">
        <v>587</v>
      </c>
      <c r="B594" s="557" t="s">
        <v>4198</v>
      </c>
      <c r="C594" t="s">
        <v>4923</v>
      </c>
      <c r="D594" s="107" t="s">
        <v>2439</v>
      </c>
      <c r="E594">
        <v>11824</v>
      </c>
      <c r="F594" s="556">
        <v>98</v>
      </c>
      <c r="G594" s="541">
        <v>8.32</v>
      </c>
      <c r="H594" s="560">
        <v>0.01</v>
      </c>
      <c r="I594" s="107">
        <v>4</v>
      </c>
      <c r="K594" s="370">
        <v>2204</v>
      </c>
      <c r="L594" s="371" t="s">
        <v>984</v>
      </c>
      <c r="M594" s="372" t="s">
        <v>3195</v>
      </c>
      <c r="N594" s="373" t="s">
        <v>985</v>
      </c>
      <c r="O594" s="374" t="s">
        <v>984</v>
      </c>
      <c r="P594" s="374" t="s">
        <v>3197</v>
      </c>
    </row>
    <row r="595" spans="1:16" ht="12.75">
      <c r="A595">
        <v>588</v>
      </c>
      <c r="B595" s="557">
        <v>15093</v>
      </c>
      <c r="C595" t="s">
        <v>4924</v>
      </c>
      <c r="D595" s="107" t="s">
        <v>2522</v>
      </c>
      <c r="E595">
        <v>48</v>
      </c>
      <c r="F595" s="556">
        <v>98</v>
      </c>
      <c r="G595" s="541">
        <v>2049.06</v>
      </c>
      <c r="H595" s="560">
        <v>0.01</v>
      </c>
      <c r="I595" s="107">
        <v>4</v>
      </c>
      <c r="K595" s="370">
        <v>2210</v>
      </c>
      <c r="L595" s="371" t="s">
        <v>986</v>
      </c>
      <c r="M595" s="372" t="s">
        <v>3195</v>
      </c>
      <c r="N595" s="373" t="s">
        <v>987</v>
      </c>
      <c r="O595" s="374" t="s">
        <v>986</v>
      </c>
      <c r="P595" s="374" t="s">
        <v>3197</v>
      </c>
    </row>
    <row r="596" spans="1:16" ht="12.75">
      <c r="A596">
        <v>589</v>
      </c>
      <c r="B596" s="557" t="s">
        <v>4196</v>
      </c>
      <c r="C596" t="s">
        <v>4925</v>
      </c>
      <c r="D596" s="107" t="s">
        <v>2439</v>
      </c>
      <c r="E596">
        <v>1511</v>
      </c>
      <c r="F596" s="556">
        <v>98</v>
      </c>
      <c r="G596" s="541">
        <v>64.74</v>
      </c>
      <c r="H596" s="560">
        <v>0.01</v>
      </c>
      <c r="I596" s="107">
        <v>4</v>
      </c>
      <c r="K596" s="370">
        <v>2219</v>
      </c>
      <c r="L596" s="371" t="s">
        <v>988</v>
      </c>
      <c r="M596" s="372" t="s">
        <v>3195</v>
      </c>
      <c r="N596" s="373" t="s">
        <v>989</v>
      </c>
      <c r="O596" s="374" t="s">
        <v>988</v>
      </c>
      <c r="P596" s="374" t="s">
        <v>3197</v>
      </c>
    </row>
    <row r="597" spans="1:16" ht="12.75">
      <c r="A597">
        <v>590</v>
      </c>
      <c r="B597" s="557">
        <v>1987</v>
      </c>
      <c r="C597" t="s">
        <v>4926</v>
      </c>
      <c r="D597" s="107" t="s">
        <v>2522</v>
      </c>
      <c r="E597">
        <v>5733</v>
      </c>
      <c r="F597" s="556">
        <v>97</v>
      </c>
      <c r="G597" s="541">
        <v>16.94</v>
      </c>
      <c r="H597" s="560">
        <v>0.01</v>
      </c>
      <c r="I597" s="107">
        <v>108</v>
      </c>
      <c r="K597" s="370">
        <v>2220</v>
      </c>
      <c r="L597" s="371" t="s">
        <v>990</v>
      </c>
      <c r="M597" s="372" t="s">
        <v>3195</v>
      </c>
      <c r="N597" s="373" t="s">
        <v>991</v>
      </c>
      <c r="O597" s="374" t="s">
        <v>990</v>
      </c>
      <c r="P597" s="374" t="s">
        <v>3197</v>
      </c>
    </row>
    <row r="598" spans="1:16" ht="12.75">
      <c r="A598">
        <v>591</v>
      </c>
      <c r="B598" s="557" t="s">
        <v>3479</v>
      </c>
      <c r="C598" t="s">
        <v>4927</v>
      </c>
      <c r="D598" s="107" t="s">
        <v>2522</v>
      </c>
      <c r="E598">
        <v>86</v>
      </c>
      <c r="F598" s="556">
        <v>97</v>
      </c>
      <c r="G598" s="541">
        <v>1125.82</v>
      </c>
      <c r="H598" s="560">
        <v>0.01</v>
      </c>
      <c r="I598" s="107">
        <v>6</v>
      </c>
      <c r="K598" s="370">
        <v>2221</v>
      </c>
      <c r="L598" s="371" t="s">
        <v>1774</v>
      </c>
      <c r="M598" s="372" t="s">
        <v>3195</v>
      </c>
      <c r="N598" s="373" t="s">
        <v>1775</v>
      </c>
      <c r="O598" s="374" t="s">
        <v>1774</v>
      </c>
      <c r="P598" s="374" t="s">
        <v>3197</v>
      </c>
    </row>
    <row r="599" spans="1:16" ht="12.75">
      <c r="A599">
        <v>592</v>
      </c>
      <c r="B599" s="557" t="s">
        <v>3491</v>
      </c>
      <c r="C599" t="s">
        <v>4928</v>
      </c>
      <c r="D599" s="107" t="s">
        <v>2522</v>
      </c>
      <c r="E599">
        <v>10</v>
      </c>
      <c r="F599" s="556">
        <v>97</v>
      </c>
      <c r="G599" s="541">
        <v>9661.92</v>
      </c>
      <c r="H599" s="560">
        <v>0.01</v>
      </c>
      <c r="I599" s="107">
        <v>3</v>
      </c>
      <c r="K599" s="370">
        <v>2223</v>
      </c>
      <c r="L599" s="371" t="s">
        <v>1776</v>
      </c>
      <c r="M599" s="372" t="s">
        <v>3195</v>
      </c>
      <c r="N599" s="373" t="s">
        <v>1777</v>
      </c>
      <c r="O599" s="374" t="s">
        <v>1776</v>
      </c>
      <c r="P599" s="374" t="s">
        <v>3197</v>
      </c>
    </row>
    <row r="600" spans="1:16" ht="12.75">
      <c r="A600">
        <v>593</v>
      </c>
      <c r="B600" s="557">
        <v>6436</v>
      </c>
      <c r="C600" t="s">
        <v>4929</v>
      </c>
      <c r="D600" s="107" t="s">
        <v>2522</v>
      </c>
      <c r="E600">
        <v>1</v>
      </c>
      <c r="F600" s="556">
        <v>96</v>
      </c>
      <c r="G600" s="541">
        <v>96448.17</v>
      </c>
      <c r="H600" s="560">
        <v>0.01</v>
      </c>
      <c r="I600" s="107">
        <v>1</v>
      </c>
      <c r="K600" s="370">
        <v>2225</v>
      </c>
      <c r="L600" s="371" t="s">
        <v>1778</v>
      </c>
      <c r="M600" s="372" t="s">
        <v>1779</v>
      </c>
      <c r="N600" s="373" t="s">
        <v>1780</v>
      </c>
      <c r="O600" s="374" t="s">
        <v>1778</v>
      </c>
      <c r="P600" s="374" t="s">
        <v>1781</v>
      </c>
    </row>
    <row r="601" spans="1:16" ht="12.75">
      <c r="A601">
        <v>594</v>
      </c>
      <c r="B601" s="557">
        <v>1756</v>
      </c>
      <c r="C601" t="s">
        <v>4930</v>
      </c>
      <c r="D601" s="107" t="s">
        <v>2522</v>
      </c>
      <c r="E601">
        <v>23</v>
      </c>
      <c r="F601" s="556">
        <v>96</v>
      </c>
      <c r="G601" s="541">
        <v>4180.56</v>
      </c>
      <c r="H601" s="560">
        <v>0.01</v>
      </c>
      <c r="I601" s="107">
        <v>10</v>
      </c>
      <c r="K601" s="370">
        <v>2230</v>
      </c>
      <c r="L601" s="371" t="s">
        <v>1782</v>
      </c>
      <c r="M601" s="372" t="s">
        <v>3195</v>
      </c>
      <c r="N601" s="373" t="s">
        <v>1783</v>
      </c>
      <c r="O601" s="374" t="s">
        <v>1782</v>
      </c>
      <c r="P601" s="374" t="s">
        <v>3197</v>
      </c>
    </row>
    <row r="602" spans="1:16" ht="12.75">
      <c r="A602">
        <v>595</v>
      </c>
      <c r="B602" s="557">
        <v>15019</v>
      </c>
      <c r="C602" t="s">
        <v>4245</v>
      </c>
      <c r="D602" s="107" t="s">
        <v>2439</v>
      </c>
      <c r="E602">
        <v>112</v>
      </c>
      <c r="F602" s="556">
        <v>95</v>
      </c>
      <c r="G602" s="541">
        <v>850</v>
      </c>
      <c r="H602" s="560">
        <v>0.01</v>
      </c>
      <c r="I602" s="107">
        <v>1</v>
      </c>
      <c r="K602" s="370">
        <v>2231</v>
      </c>
      <c r="L602" s="371" t="s">
        <v>1784</v>
      </c>
      <c r="M602" s="372" t="s">
        <v>3195</v>
      </c>
      <c r="N602" s="373" t="s">
        <v>1785</v>
      </c>
      <c r="O602" s="374" t="s">
        <v>1784</v>
      </c>
      <c r="P602" s="374" t="s">
        <v>3197</v>
      </c>
    </row>
    <row r="603" spans="1:16" ht="12.75">
      <c r="A603">
        <v>596</v>
      </c>
      <c r="B603" s="557">
        <v>15098</v>
      </c>
      <c r="C603" t="s">
        <v>4931</v>
      </c>
      <c r="D603" s="107" t="s">
        <v>2522</v>
      </c>
      <c r="E603">
        <v>10</v>
      </c>
      <c r="F603" s="556">
        <v>95</v>
      </c>
      <c r="G603" s="541">
        <v>9519</v>
      </c>
      <c r="H603" s="560">
        <v>0.01</v>
      </c>
      <c r="I603" s="107">
        <v>2</v>
      </c>
      <c r="K603" s="370">
        <v>2233</v>
      </c>
      <c r="L603" s="371" t="s">
        <v>1786</v>
      </c>
      <c r="M603" s="372" t="s">
        <v>3195</v>
      </c>
      <c r="N603" s="373" t="s">
        <v>1787</v>
      </c>
      <c r="O603" s="374" t="s">
        <v>1786</v>
      </c>
      <c r="P603" s="374" t="s">
        <v>3197</v>
      </c>
    </row>
    <row r="604" spans="1:16" ht="12.75">
      <c r="A604">
        <v>597</v>
      </c>
      <c r="B604" s="557" t="s">
        <v>4213</v>
      </c>
      <c r="C604" t="s">
        <v>4932</v>
      </c>
      <c r="D604" s="107" t="s">
        <v>2522</v>
      </c>
      <c r="E604">
        <v>54</v>
      </c>
      <c r="F604" s="556">
        <v>94</v>
      </c>
      <c r="G604" s="541">
        <v>1741.67</v>
      </c>
      <c r="H604" s="560">
        <v>0.01</v>
      </c>
      <c r="I604" s="107">
        <v>4</v>
      </c>
      <c r="K604" s="370">
        <v>2235</v>
      </c>
      <c r="L604" s="371" t="s">
        <v>1788</v>
      </c>
      <c r="M604" s="372" t="s">
        <v>3195</v>
      </c>
      <c r="N604" s="373" t="s">
        <v>1789</v>
      </c>
      <c r="O604" s="374" t="s">
        <v>1788</v>
      </c>
      <c r="P604" s="374" t="s">
        <v>3197</v>
      </c>
    </row>
    <row r="605" spans="1:16" ht="12.75">
      <c r="A605">
        <v>598</v>
      </c>
      <c r="B605" s="557">
        <v>14105</v>
      </c>
      <c r="C605" t="s">
        <v>4933</v>
      </c>
      <c r="D605" s="107" t="s">
        <v>2522</v>
      </c>
      <c r="E605">
        <v>43</v>
      </c>
      <c r="F605" s="556">
        <v>94</v>
      </c>
      <c r="G605" s="541">
        <v>2174.96</v>
      </c>
      <c r="H605" s="560">
        <v>0.01</v>
      </c>
      <c r="I605" s="107">
        <v>10</v>
      </c>
      <c r="K605" s="370">
        <v>2237</v>
      </c>
      <c r="L605" s="371" t="s">
        <v>1790</v>
      </c>
      <c r="M605" s="372" t="s">
        <v>751</v>
      </c>
      <c r="N605" s="373" t="s">
        <v>1791</v>
      </c>
      <c r="O605" s="374" t="s">
        <v>1790</v>
      </c>
      <c r="P605" s="374" t="s">
        <v>754</v>
      </c>
    </row>
    <row r="606" spans="1:14" ht="12.75">
      <c r="A606">
        <v>599</v>
      </c>
      <c r="B606" s="557">
        <v>1433</v>
      </c>
      <c r="C606" t="s">
        <v>4934</v>
      </c>
      <c r="D606" s="107" t="s">
        <v>2522</v>
      </c>
      <c r="E606">
        <v>34</v>
      </c>
      <c r="F606" s="556">
        <v>93</v>
      </c>
      <c r="G606" s="541">
        <v>2726.91</v>
      </c>
      <c r="H606" s="560">
        <v>0.01</v>
      </c>
      <c r="I606" s="107">
        <v>11</v>
      </c>
      <c r="K606" s="370">
        <v>2240</v>
      </c>
      <c r="L606" s="371" t="s">
        <v>1792</v>
      </c>
      <c r="M606" s="372" t="s">
        <v>2821</v>
      </c>
      <c r="N606" s="373"/>
    </row>
    <row r="607" spans="1:16" ht="12.75">
      <c r="A607">
        <v>600</v>
      </c>
      <c r="B607" s="557">
        <v>1970</v>
      </c>
      <c r="C607" t="s">
        <v>4935</v>
      </c>
      <c r="D607" s="107" t="s">
        <v>2439</v>
      </c>
      <c r="E607">
        <v>260</v>
      </c>
      <c r="F607" s="556">
        <v>92</v>
      </c>
      <c r="G607" s="541">
        <v>355.33</v>
      </c>
      <c r="H607" s="560">
        <v>0.01</v>
      </c>
      <c r="I607" s="107">
        <v>1</v>
      </c>
      <c r="K607" s="370">
        <v>2241</v>
      </c>
      <c r="L607" s="371" t="s">
        <v>1793</v>
      </c>
      <c r="M607" s="372" t="s">
        <v>751</v>
      </c>
      <c r="N607" s="373" t="s">
        <v>1794</v>
      </c>
      <c r="O607" s="374" t="s">
        <v>1793</v>
      </c>
      <c r="P607" s="374" t="s">
        <v>754</v>
      </c>
    </row>
    <row r="608" spans="1:16" ht="12.75">
      <c r="A608">
        <v>601</v>
      </c>
      <c r="B608" s="557">
        <v>6614</v>
      </c>
      <c r="C608" t="s">
        <v>4936</v>
      </c>
      <c r="D608" s="107" t="s">
        <v>2522</v>
      </c>
      <c r="E608">
        <v>3210</v>
      </c>
      <c r="F608" s="556">
        <v>91</v>
      </c>
      <c r="G608" s="541">
        <v>28.31</v>
      </c>
      <c r="H608" s="560">
        <v>0.01</v>
      </c>
      <c r="I608" s="107">
        <v>20</v>
      </c>
      <c r="K608" s="370">
        <v>2242</v>
      </c>
      <c r="L608" s="371" t="s">
        <v>1795</v>
      </c>
      <c r="M608" s="372" t="s">
        <v>1796</v>
      </c>
      <c r="N608" s="373" t="s">
        <v>1993</v>
      </c>
      <c r="O608" s="374" t="s">
        <v>1795</v>
      </c>
      <c r="P608" s="374" t="s">
        <v>3197</v>
      </c>
    </row>
    <row r="609" spans="1:16" ht="12.75">
      <c r="A609">
        <v>602</v>
      </c>
      <c r="B609" s="557">
        <v>15117</v>
      </c>
      <c r="C609" t="s">
        <v>4937</v>
      </c>
      <c r="D609" s="107" t="s">
        <v>2439</v>
      </c>
      <c r="E609">
        <v>298</v>
      </c>
      <c r="F609" s="556">
        <v>91</v>
      </c>
      <c r="G609" s="541">
        <v>304</v>
      </c>
      <c r="H609" s="560">
        <v>0.01</v>
      </c>
      <c r="I609" s="107">
        <v>1</v>
      </c>
      <c r="K609" s="370">
        <v>2259</v>
      </c>
      <c r="L609" s="371" t="s">
        <v>1994</v>
      </c>
      <c r="M609" s="372" t="s">
        <v>751</v>
      </c>
      <c r="N609" s="373" t="s">
        <v>1995</v>
      </c>
      <c r="O609" s="374" t="s">
        <v>1994</v>
      </c>
      <c r="P609" s="374" t="s">
        <v>754</v>
      </c>
    </row>
    <row r="610" spans="1:16" ht="12.75">
      <c r="A610">
        <v>603</v>
      </c>
      <c r="B610" s="557">
        <v>2432</v>
      </c>
      <c r="C610" t="s">
        <v>4938</v>
      </c>
      <c r="D610" s="107" t="s">
        <v>2522</v>
      </c>
      <c r="E610">
        <v>686</v>
      </c>
      <c r="F610" s="556">
        <v>90</v>
      </c>
      <c r="G610" s="541">
        <v>131.79</v>
      </c>
      <c r="H610" s="560">
        <v>0.01</v>
      </c>
      <c r="I610" s="107">
        <v>37</v>
      </c>
      <c r="K610" s="370">
        <v>2261</v>
      </c>
      <c r="L610" s="371" t="s">
        <v>1996</v>
      </c>
      <c r="M610" s="372" t="s">
        <v>751</v>
      </c>
      <c r="N610" s="373" t="s">
        <v>1997</v>
      </c>
      <c r="O610" s="374" t="s">
        <v>1996</v>
      </c>
      <c r="P610" s="374" t="s">
        <v>754</v>
      </c>
    </row>
    <row r="611" spans="1:16" ht="12.75">
      <c r="A611">
        <v>604</v>
      </c>
      <c r="B611" s="557" t="s">
        <v>4018</v>
      </c>
      <c r="C611" t="s">
        <v>4939</v>
      </c>
      <c r="D611" s="107" t="s">
        <v>2522</v>
      </c>
      <c r="E611">
        <v>76</v>
      </c>
      <c r="F611" s="556">
        <v>90</v>
      </c>
      <c r="G611" s="541">
        <v>1186.18</v>
      </c>
      <c r="H611" s="560">
        <v>0.01</v>
      </c>
      <c r="I611" s="107">
        <v>6</v>
      </c>
      <c r="K611" s="370">
        <v>2262</v>
      </c>
      <c r="L611" s="371" t="s">
        <v>1998</v>
      </c>
      <c r="M611" s="372" t="s">
        <v>751</v>
      </c>
      <c r="N611" s="373" t="s">
        <v>1999</v>
      </c>
      <c r="O611" s="374" t="s">
        <v>1998</v>
      </c>
      <c r="P611" s="374" t="s">
        <v>754</v>
      </c>
    </row>
    <row r="612" spans="1:16" ht="12.75">
      <c r="A612">
        <v>605</v>
      </c>
      <c r="B612" s="557">
        <v>15085</v>
      </c>
      <c r="C612" t="s">
        <v>4940</v>
      </c>
      <c r="D612" s="107" t="s">
        <v>2522</v>
      </c>
      <c r="E612">
        <v>3</v>
      </c>
      <c r="F612" s="556">
        <v>90</v>
      </c>
      <c r="G612" s="541">
        <v>30000</v>
      </c>
      <c r="H612" s="560">
        <v>0.01</v>
      </c>
      <c r="I612" s="107">
        <v>1</v>
      </c>
      <c r="K612" s="370">
        <v>2263</v>
      </c>
      <c r="L612" s="371" t="s">
        <v>2000</v>
      </c>
      <c r="M612" s="372" t="s">
        <v>751</v>
      </c>
      <c r="N612" s="373" t="s">
        <v>2001</v>
      </c>
      <c r="O612" s="374" t="s">
        <v>2000</v>
      </c>
      <c r="P612" s="374" t="s">
        <v>754</v>
      </c>
    </row>
    <row r="613" spans="1:16" ht="12.75">
      <c r="A613">
        <v>606</v>
      </c>
      <c r="B613" s="557" t="s">
        <v>4941</v>
      </c>
      <c r="C613" t="s">
        <v>4942</v>
      </c>
      <c r="D613" s="107" t="s">
        <v>2522</v>
      </c>
      <c r="E613">
        <v>2</v>
      </c>
      <c r="F613" s="556">
        <v>90</v>
      </c>
      <c r="G613" s="541">
        <v>45000</v>
      </c>
      <c r="H613" s="560">
        <v>0.01</v>
      </c>
      <c r="I613" s="107">
        <v>1</v>
      </c>
      <c r="K613" s="370">
        <v>2265</v>
      </c>
      <c r="L613" s="371" t="s">
        <v>2002</v>
      </c>
      <c r="M613" s="372" t="s">
        <v>751</v>
      </c>
      <c r="N613" s="373" t="s">
        <v>2003</v>
      </c>
      <c r="O613" s="374" t="s">
        <v>2002</v>
      </c>
      <c r="P613" s="374" t="s">
        <v>754</v>
      </c>
    </row>
    <row r="614" spans="1:16" ht="12.75">
      <c r="A614">
        <v>607</v>
      </c>
      <c r="B614" s="557">
        <v>8651</v>
      </c>
      <c r="C614" t="s">
        <v>4943</v>
      </c>
      <c r="D614" s="107" t="s">
        <v>2439</v>
      </c>
      <c r="E614">
        <v>232</v>
      </c>
      <c r="F614" s="556">
        <v>89</v>
      </c>
      <c r="G614" s="541">
        <v>385.52</v>
      </c>
      <c r="H614" s="560">
        <v>0.01</v>
      </c>
      <c r="I614" s="107">
        <v>2</v>
      </c>
      <c r="K614" s="370">
        <v>2266</v>
      </c>
      <c r="L614" s="371" t="s">
        <v>2004</v>
      </c>
      <c r="M614" s="372" t="s">
        <v>751</v>
      </c>
      <c r="N614" s="373" t="s">
        <v>2005</v>
      </c>
      <c r="O614" s="374" t="s">
        <v>2004</v>
      </c>
      <c r="P614" s="374" t="s">
        <v>754</v>
      </c>
    </row>
    <row r="615" spans="1:16" ht="12.75">
      <c r="A615">
        <v>608</v>
      </c>
      <c r="B615" s="557">
        <v>1538</v>
      </c>
      <c r="C615" t="s">
        <v>4944</v>
      </c>
      <c r="D615" s="107" t="s">
        <v>2522</v>
      </c>
      <c r="E615">
        <v>9</v>
      </c>
      <c r="F615" s="556">
        <v>89</v>
      </c>
      <c r="G615" s="541">
        <v>9866.67</v>
      </c>
      <c r="H615" s="560">
        <v>0.01</v>
      </c>
      <c r="I615" s="107">
        <v>3</v>
      </c>
      <c r="K615" s="370">
        <v>2267</v>
      </c>
      <c r="L615" s="371" t="s">
        <v>2006</v>
      </c>
      <c r="M615" s="372" t="s">
        <v>751</v>
      </c>
      <c r="N615" s="373" t="s">
        <v>2007</v>
      </c>
      <c r="O615" s="374" t="s">
        <v>2006</v>
      </c>
      <c r="P615" s="374" t="s">
        <v>754</v>
      </c>
    </row>
    <row r="616" spans="1:16" ht="12.75">
      <c r="A616">
        <v>609</v>
      </c>
      <c r="B616" s="557">
        <v>14148</v>
      </c>
      <c r="C616" t="s">
        <v>4945</v>
      </c>
      <c r="D616" s="107" t="s">
        <v>2522</v>
      </c>
      <c r="E616">
        <v>18</v>
      </c>
      <c r="F616" s="556">
        <v>88</v>
      </c>
      <c r="G616" s="541">
        <v>4872.22</v>
      </c>
      <c r="H616" s="560">
        <v>0.01</v>
      </c>
      <c r="I616" s="107">
        <v>3</v>
      </c>
      <c r="K616" s="370">
        <v>2268</v>
      </c>
      <c r="L616" s="371" t="s">
        <v>2008</v>
      </c>
      <c r="M616" s="372" t="s">
        <v>751</v>
      </c>
      <c r="N616" s="373" t="s">
        <v>2009</v>
      </c>
      <c r="O616" s="374" t="s">
        <v>2008</v>
      </c>
      <c r="P616" s="374" t="s">
        <v>754</v>
      </c>
    </row>
    <row r="617" spans="1:16" ht="12.75">
      <c r="A617">
        <v>610</v>
      </c>
      <c r="B617" s="557">
        <v>4886</v>
      </c>
      <c r="C617" t="s">
        <v>4946</v>
      </c>
      <c r="D617" s="107" t="s">
        <v>2439</v>
      </c>
      <c r="E617">
        <v>10410</v>
      </c>
      <c r="F617" s="556">
        <v>87</v>
      </c>
      <c r="G617" s="541">
        <v>8.36</v>
      </c>
      <c r="H617" s="560">
        <v>0.01</v>
      </c>
      <c r="I617" s="107">
        <v>9</v>
      </c>
      <c r="K617" s="370">
        <v>2273</v>
      </c>
      <c r="L617" s="371" t="s">
        <v>2010</v>
      </c>
      <c r="M617" s="372" t="s">
        <v>751</v>
      </c>
      <c r="N617" s="373" t="s">
        <v>2011</v>
      </c>
      <c r="O617" s="374" t="s">
        <v>2012</v>
      </c>
      <c r="P617" s="374" t="s">
        <v>754</v>
      </c>
    </row>
    <row r="618" spans="1:16" ht="12.75">
      <c r="A618">
        <v>611</v>
      </c>
      <c r="B618" s="557">
        <v>30071</v>
      </c>
      <c r="C618" t="s">
        <v>4947</v>
      </c>
      <c r="D618" s="107" t="s">
        <v>2441</v>
      </c>
      <c r="E618">
        <v>1</v>
      </c>
      <c r="F618" s="556">
        <v>87</v>
      </c>
      <c r="G618" s="541">
        <v>87000</v>
      </c>
      <c r="H618" s="560">
        <v>0.01</v>
      </c>
      <c r="I618" s="107">
        <v>1</v>
      </c>
      <c r="K618" s="370">
        <v>2274</v>
      </c>
      <c r="L618" s="371" t="s">
        <v>2013</v>
      </c>
      <c r="M618" s="372" t="s">
        <v>751</v>
      </c>
      <c r="N618" s="373" t="s">
        <v>2014</v>
      </c>
      <c r="O618" s="374" t="s">
        <v>2015</v>
      </c>
      <c r="P618" s="374" t="s">
        <v>754</v>
      </c>
    </row>
    <row r="619" spans="1:16" ht="12.75">
      <c r="A619">
        <v>612</v>
      </c>
      <c r="B619" s="557" t="s">
        <v>4948</v>
      </c>
      <c r="C619" t="s">
        <v>4949</v>
      </c>
      <c r="D619" s="107" t="s">
        <v>2439</v>
      </c>
      <c r="E619">
        <v>175</v>
      </c>
      <c r="F619" s="556">
        <v>87</v>
      </c>
      <c r="G619" s="541">
        <v>496</v>
      </c>
      <c r="H619" s="560">
        <v>0.01</v>
      </c>
      <c r="I619" s="107">
        <v>1</v>
      </c>
      <c r="K619" s="370">
        <v>2275</v>
      </c>
      <c r="L619" s="371" t="s">
        <v>2016</v>
      </c>
      <c r="M619" s="372" t="s">
        <v>751</v>
      </c>
      <c r="N619" s="373" t="s">
        <v>2017</v>
      </c>
      <c r="O619" s="374" t="s">
        <v>2018</v>
      </c>
      <c r="P619" s="374" t="s">
        <v>754</v>
      </c>
    </row>
    <row r="620" spans="1:14" ht="12.75">
      <c r="A620">
        <v>613</v>
      </c>
      <c r="B620" s="557">
        <v>17001</v>
      </c>
      <c r="C620" t="s">
        <v>4950</v>
      </c>
      <c r="D620" s="107" t="s">
        <v>2522</v>
      </c>
      <c r="E620">
        <v>24</v>
      </c>
      <c r="F620" s="556">
        <v>86</v>
      </c>
      <c r="G620" s="541">
        <v>3600</v>
      </c>
      <c r="H620" s="560">
        <v>0.01</v>
      </c>
      <c r="I620" s="107">
        <v>1</v>
      </c>
      <c r="K620" s="370">
        <v>2281</v>
      </c>
      <c r="L620" s="371" t="s">
        <v>2019</v>
      </c>
      <c r="M620" s="372" t="s">
        <v>2821</v>
      </c>
      <c r="N620" s="373"/>
    </row>
    <row r="621" spans="1:14" ht="12.75">
      <c r="A621">
        <v>614</v>
      </c>
      <c r="B621" s="557" t="s">
        <v>4129</v>
      </c>
      <c r="C621" t="s">
        <v>4951</v>
      </c>
      <c r="D621" s="107" t="s">
        <v>2439</v>
      </c>
      <c r="E621">
        <v>220</v>
      </c>
      <c r="F621" s="556">
        <v>86</v>
      </c>
      <c r="G621" s="541">
        <v>391.8</v>
      </c>
      <c r="H621" s="560">
        <v>0.01</v>
      </c>
      <c r="I621" s="107">
        <v>2</v>
      </c>
      <c r="K621" s="370">
        <v>2282</v>
      </c>
      <c r="L621" s="371" t="s">
        <v>2020</v>
      </c>
      <c r="M621" s="372" t="s">
        <v>2821</v>
      </c>
      <c r="N621" s="373"/>
    </row>
    <row r="622" spans="1:14" ht="12.75">
      <c r="A622">
        <v>615</v>
      </c>
      <c r="B622" s="557">
        <v>15118</v>
      </c>
      <c r="C622" t="s">
        <v>4952</v>
      </c>
      <c r="D622" s="107" t="s">
        <v>2439</v>
      </c>
      <c r="E622">
        <v>371</v>
      </c>
      <c r="F622" s="556">
        <v>86</v>
      </c>
      <c r="G622" s="541">
        <v>232</v>
      </c>
      <c r="H622" s="560">
        <v>0.01</v>
      </c>
      <c r="I622" s="107">
        <v>1</v>
      </c>
      <c r="K622" s="370">
        <v>2286</v>
      </c>
      <c r="L622" s="371" t="s">
        <v>2021</v>
      </c>
      <c r="M622" s="372" t="s">
        <v>2821</v>
      </c>
      <c r="N622" s="373"/>
    </row>
    <row r="623" spans="1:14" ht="12.75">
      <c r="A623">
        <v>616</v>
      </c>
      <c r="B623" s="557">
        <v>1511</v>
      </c>
      <c r="C623" t="s">
        <v>4953</v>
      </c>
      <c r="D623" s="107" t="s">
        <v>2522</v>
      </c>
      <c r="E623">
        <v>13</v>
      </c>
      <c r="F623" s="556">
        <v>86</v>
      </c>
      <c r="G623" s="541">
        <v>6616.79</v>
      </c>
      <c r="H623" s="560">
        <v>0.01</v>
      </c>
      <c r="I623" s="107">
        <v>4</v>
      </c>
      <c r="K623" s="370">
        <v>2287</v>
      </c>
      <c r="L623" s="371" t="s">
        <v>2022</v>
      </c>
      <c r="M623" s="372" t="s">
        <v>2821</v>
      </c>
      <c r="N623" s="373"/>
    </row>
    <row r="624" spans="1:14" ht="12.75">
      <c r="A624">
        <v>617</v>
      </c>
      <c r="B624" s="557" t="s">
        <v>3473</v>
      </c>
      <c r="C624" t="s">
        <v>4954</v>
      </c>
      <c r="D624" s="107" t="s">
        <v>2522</v>
      </c>
      <c r="E624">
        <v>162</v>
      </c>
      <c r="F624" s="556">
        <v>86</v>
      </c>
      <c r="G624" s="541">
        <v>528.79</v>
      </c>
      <c r="H624" s="560">
        <v>0.01</v>
      </c>
      <c r="I624" s="107">
        <v>13</v>
      </c>
      <c r="K624" s="370">
        <v>2288</v>
      </c>
      <c r="L624" s="371" t="s">
        <v>2023</v>
      </c>
      <c r="M624" s="372" t="s">
        <v>2821</v>
      </c>
      <c r="N624" s="373"/>
    </row>
    <row r="625" spans="1:14" ht="12.75">
      <c r="A625">
        <v>618</v>
      </c>
      <c r="B625" s="557">
        <v>4780</v>
      </c>
      <c r="C625" t="s">
        <v>4955</v>
      </c>
      <c r="D625" s="107" t="s">
        <v>2522</v>
      </c>
      <c r="E625">
        <v>479</v>
      </c>
      <c r="F625" s="556">
        <v>85</v>
      </c>
      <c r="G625" s="541">
        <v>177.65</v>
      </c>
      <c r="H625" s="560">
        <v>0.01</v>
      </c>
      <c r="I625" s="107">
        <v>14</v>
      </c>
      <c r="K625" s="370">
        <v>2289</v>
      </c>
      <c r="L625" s="371" t="s">
        <v>2024</v>
      </c>
      <c r="M625" s="372" t="s">
        <v>2821</v>
      </c>
      <c r="N625" s="373"/>
    </row>
    <row r="626" spans="1:14" ht="12.75">
      <c r="A626">
        <v>619</v>
      </c>
      <c r="B626" s="557">
        <v>4935</v>
      </c>
      <c r="C626" t="s">
        <v>4956</v>
      </c>
      <c r="D626" s="107" t="s">
        <v>2441</v>
      </c>
      <c r="E626">
        <v>3</v>
      </c>
      <c r="F626" s="556">
        <v>85</v>
      </c>
      <c r="G626" s="541">
        <v>28333.33</v>
      </c>
      <c r="H626" s="560">
        <v>0.01</v>
      </c>
      <c r="I626" s="107">
        <v>3</v>
      </c>
      <c r="K626" s="370">
        <v>2347</v>
      </c>
      <c r="L626" s="371" t="s">
        <v>2025</v>
      </c>
      <c r="M626" s="372" t="s">
        <v>2821</v>
      </c>
      <c r="N626" s="373"/>
    </row>
    <row r="627" spans="1:16" ht="12.75">
      <c r="A627">
        <v>620</v>
      </c>
      <c r="B627" s="557" t="s">
        <v>2265</v>
      </c>
      <c r="C627" t="s">
        <v>4957</v>
      </c>
      <c r="D627" s="107" t="s">
        <v>2522</v>
      </c>
      <c r="E627">
        <v>988</v>
      </c>
      <c r="F627" s="556">
        <v>85</v>
      </c>
      <c r="G627" s="541">
        <v>85.58</v>
      </c>
      <c r="H627" s="560">
        <v>0.01</v>
      </c>
      <c r="I627" s="107">
        <v>33</v>
      </c>
      <c r="K627" s="370">
        <v>2350</v>
      </c>
      <c r="L627" s="371" t="s">
        <v>2026</v>
      </c>
      <c r="M627" s="372" t="s">
        <v>751</v>
      </c>
      <c r="N627" s="373" t="s">
        <v>2027</v>
      </c>
      <c r="O627" s="374" t="s">
        <v>2026</v>
      </c>
      <c r="P627" s="374" t="s">
        <v>754</v>
      </c>
    </row>
    <row r="628" spans="1:16" ht="12.75">
      <c r="A628">
        <v>621</v>
      </c>
      <c r="B628" s="557">
        <v>14513</v>
      </c>
      <c r="C628" t="s">
        <v>4958</v>
      </c>
      <c r="D628" s="107" t="s">
        <v>2522</v>
      </c>
      <c r="E628">
        <v>3</v>
      </c>
      <c r="F628" s="556">
        <v>84</v>
      </c>
      <c r="G628" s="541">
        <v>28100</v>
      </c>
      <c r="H628" s="560">
        <v>0.01</v>
      </c>
      <c r="I628" s="107">
        <v>1</v>
      </c>
      <c r="K628" s="370">
        <v>2351</v>
      </c>
      <c r="L628" s="371" t="s">
        <v>2028</v>
      </c>
      <c r="M628" s="372" t="s">
        <v>751</v>
      </c>
      <c r="N628" s="373" t="s">
        <v>2029</v>
      </c>
      <c r="O628" s="374" t="s">
        <v>2028</v>
      </c>
      <c r="P628" s="374" t="s">
        <v>754</v>
      </c>
    </row>
    <row r="629" spans="1:16" ht="12.75">
      <c r="A629">
        <v>622</v>
      </c>
      <c r="B629" s="557">
        <v>4741</v>
      </c>
      <c r="C629" t="s">
        <v>4959</v>
      </c>
      <c r="D629" s="107" t="s">
        <v>2522</v>
      </c>
      <c r="E629">
        <v>42</v>
      </c>
      <c r="F629" s="556">
        <v>84</v>
      </c>
      <c r="G629" s="541">
        <v>2000</v>
      </c>
      <c r="H629" s="560">
        <v>0.01</v>
      </c>
      <c r="I629" s="107">
        <v>1</v>
      </c>
      <c r="K629" s="370">
        <v>2352</v>
      </c>
      <c r="L629" s="371" t="s">
        <v>2030</v>
      </c>
      <c r="M629" s="372" t="s">
        <v>751</v>
      </c>
      <c r="N629" s="373" t="s">
        <v>2031</v>
      </c>
      <c r="O629" s="374" t="s">
        <v>2030</v>
      </c>
      <c r="P629" s="374" t="s">
        <v>754</v>
      </c>
    </row>
    <row r="630" spans="1:16" ht="12.75">
      <c r="A630">
        <v>623</v>
      </c>
      <c r="B630" s="557">
        <v>2259</v>
      </c>
      <c r="C630" t="s">
        <v>4960</v>
      </c>
      <c r="D630" s="107" t="s">
        <v>2439</v>
      </c>
      <c r="E630">
        <v>4926</v>
      </c>
      <c r="F630" s="556">
        <v>84</v>
      </c>
      <c r="G630" s="541">
        <v>16.96</v>
      </c>
      <c r="H630" s="560">
        <v>0.01</v>
      </c>
      <c r="I630" s="107">
        <v>5</v>
      </c>
      <c r="K630" s="370">
        <v>2353</v>
      </c>
      <c r="L630" s="371" t="s">
        <v>2032</v>
      </c>
      <c r="M630" s="372" t="s">
        <v>751</v>
      </c>
      <c r="N630" s="375" t="s">
        <v>2033</v>
      </c>
      <c r="O630" s="374" t="s">
        <v>2032</v>
      </c>
      <c r="P630" s="374" t="s">
        <v>754</v>
      </c>
    </row>
    <row r="631" spans="1:16" ht="12.75">
      <c r="A631">
        <v>624</v>
      </c>
      <c r="B631" s="557">
        <v>14082</v>
      </c>
      <c r="C631" t="s">
        <v>4961</v>
      </c>
      <c r="D631" s="107" t="s">
        <v>2522</v>
      </c>
      <c r="E631">
        <v>24</v>
      </c>
      <c r="F631" s="556">
        <v>83</v>
      </c>
      <c r="G631" s="541">
        <v>3477.6</v>
      </c>
      <c r="H631" s="560">
        <v>0.01</v>
      </c>
      <c r="I631" s="107">
        <v>1</v>
      </c>
      <c r="K631" s="370">
        <v>2355</v>
      </c>
      <c r="L631" s="371" t="s">
        <v>3947</v>
      </c>
      <c r="M631" s="372" t="s">
        <v>751</v>
      </c>
      <c r="N631" s="373" t="s">
        <v>3948</v>
      </c>
      <c r="O631" s="374" t="s">
        <v>3947</v>
      </c>
      <c r="P631" s="374" t="s">
        <v>754</v>
      </c>
    </row>
    <row r="632" spans="1:14" ht="12.75">
      <c r="A632">
        <v>625</v>
      </c>
      <c r="B632" s="557">
        <v>14057</v>
      </c>
      <c r="C632" t="s">
        <v>4962</v>
      </c>
      <c r="D632" s="107" t="s">
        <v>2439</v>
      </c>
      <c r="E632">
        <v>2952</v>
      </c>
      <c r="F632" s="556">
        <v>83</v>
      </c>
      <c r="G632" s="541">
        <v>28.15</v>
      </c>
      <c r="H632" s="560">
        <v>0.01</v>
      </c>
      <c r="I632" s="107">
        <v>3</v>
      </c>
      <c r="K632" s="370">
        <v>2358</v>
      </c>
      <c r="L632" s="371" t="s">
        <v>3949</v>
      </c>
      <c r="M632" s="372" t="s">
        <v>751</v>
      </c>
      <c r="N632" s="373"/>
    </row>
    <row r="633" spans="1:14" ht="12.75">
      <c r="A633">
        <v>626</v>
      </c>
      <c r="B633" s="557">
        <v>16076</v>
      </c>
      <c r="C633" t="s">
        <v>4963</v>
      </c>
      <c r="D633" s="107" t="s">
        <v>2522</v>
      </c>
      <c r="E633">
        <v>63</v>
      </c>
      <c r="F633" s="556">
        <v>83</v>
      </c>
      <c r="G633" s="541">
        <v>1310.03</v>
      </c>
      <c r="H633" s="560">
        <v>0.01</v>
      </c>
      <c r="I633" s="107">
        <v>2</v>
      </c>
      <c r="K633" s="370">
        <v>2359</v>
      </c>
      <c r="L633" s="371" t="s">
        <v>3950</v>
      </c>
      <c r="M633" s="372" t="s">
        <v>2821</v>
      </c>
      <c r="N633" s="373"/>
    </row>
    <row r="634" spans="1:14" ht="12.75">
      <c r="A634">
        <v>627</v>
      </c>
      <c r="B634" s="557">
        <v>40162</v>
      </c>
      <c r="C634" t="s">
        <v>4964</v>
      </c>
      <c r="D634" s="107" t="s">
        <v>2441</v>
      </c>
      <c r="E634">
        <v>1</v>
      </c>
      <c r="F634" s="556">
        <v>83</v>
      </c>
      <c r="G634" s="541">
        <v>82500</v>
      </c>
      <c r="H634" s="560">
        <v>0.01</v>
      </c>
      <c r="I634" s="107">
        <v>1</v>
      </c>
      <c r="K634" s="370">
        <v>2360</v>
      </c>
      <c r="L634" s="371" t="s">
        <v>3951</v>
      </c>
      <c r="M634" s="372" t="s">
        <v>2821</v>
      </c>
      <c r="N634" s="373"/>
    </row>
    <row r="635" spans="1:14" ht="12.75">
      <c r="A635">
        <v>628</v>
      </c>
      <c r="B635" s="557">
        <v>1452</v>
      </c>
      <c r="C635" t="s">
        <v>4965</v>
      </c>
      <c r="D635" s="107" t="s">
        <v>2522</v>
      </c>
      <c r="E635">
        <v>14</v>
      </c>
      <c r="F635" s="556">
        <v>82</v>
      </c>
      <c r="G635" s="541">
        <v>5843.43</v>
      </c>
      <c r="H635" s="560">
        <v>0.01</v>
      </c>
      <c r="I635" s="107">
        <v>6</v>
      </c>
      <c r="K635" s="370">
        <v>2363</v>
      </c>
      <c r="L635" s="371" t="s">
        <v>3952</v>
      </c>
      <c r="M635" s="372" t="s">
        <v>2821</v>
      </c>
      <c r="N635" s="373"/>
    </row>
    <row r="636" spans="1:14" ht="12.75">
      <c r="A636">
        <v>629</v>
      </c>
      <c r="B636" s="557">
        <v>4750</v>
      </c>
      <c r="C636" t="s">
        <v>4966</v>
      </c>
      <c r="D636" s="107" t="s">
        <v>2522</v>
      </c>
      <c r="E636">
        <v>121</v>
      </c>
      <c r="F636" s="556">
        <v>81</v>
      </c>
      <c r="G636" s="541">
        <v>673.5</v>
      </c>
      <c r="H636" s="560">
        <v>0.01</v>
      </c>
      <c r="I636" s="107">
        <v>8</v>
      </c>
      <c r="K636" s="370">
        <v>2364</v>
      </c>
      <c r="L636" s="371" t="s">
        <v>3953</v>
      </c>
      <c r="M636" s="372" t="s">
        <v>2821</v>
      </c>
      <c r="N636" s="373"/>
    </row>
    <row r="637" spans="1:14" ht="12.75">
      <c r="A637">
        <v>630</v>
      </c>
      <c r="B637" s="557">
        <v>4960</v>
      </c>
      <c r="C637" t="s">
        <v>4967</v>
      </c>
      <c r="D637" s="107" t="s">
        <v>1772</v>
      </c>
      <c r="E637">
        <v>157</v>
      </c>
      <c r="F637" s="556">
        <v>81</v>
      </c>
      <c r="G637" s="541">
        <v>518.37</v>
      </c>
      <c r="H637" s="560">
        <v>0.01</v>
      </c>
      <c r="I637" s="107">
        <v>8</v>
      </c>
      <c r="K637" s="370">
        <v>2365</v>
      </c>
      <c r="L637" s="371" t="s">
        <v>3954</v>
      </c>
      <c r="M637" s="372" t="s">
        <v>2821</v>
      </c>
      <c r="N637" s="373"/>
    </row>
    <row r="638" spans="1:14" ht="12.75">
      <c r="A638">
        <v>631</v>
      </c>
      <c r="B638" s="557">
        <v>4953</v>
      </c>
      <c r="C638" t="s">
        <v>4968</v>
      </c>
      <c r="D638" s="107" t="s">
        <v>2522</v>
      </c>
      <c r="E638">
        <v>313</v>
      </c>
      <c r="F638" s="556">
        <v>80</v>
      </c>
      <c r="G638" s="541">
        <v>255.75</v>
      </c>
      <c r="H638" s="560">
        <v>0.01</v>
      </c>
      <c r="I638" s="107">
        <v>13</v>
      </c>
      <c r="K638" s="370">
        <v>2366</v>
      </c>
      <c r="L638" s="371" t="s">
        <v>3955</v>
      </c>
      <c r="M638" s="372" t="s">
        <v>2821</v>
      </c>
      <c r="N638" s="373"/>
    </row>
    <row r="639" spans="1:14" ht="12.75">
      <c r="A639">
        <v>632</v>
      </c>
      <c r="B639" s="557">
        <v>1920</v>
      </c>
      <c r="C639" t="s">
        <v>4969</v>
      </c>
      <c r="D639" s="107" t="s">
        <v>1772</v>
      </c>
      <c r="E639">
        <v>648</v>
      </c>
      <c r="F639" s="556">
        <v>79</v>
      </c>
      <c r="G639" s="541">
        <v>122</v>
      </c>
      <c r="H639" s="560">
        <v>0.01</v>
      </c>
      <c r="I639" s="107">
        <v>1</v>
      </c>
      <c r="K639" s="370">
        <v>2367</v>
      </c>
      <c r="L639" s="371" t="s">
        <v>3956</v>
      </c>
      <c r="M639" s="372" t="s">
        <v>2821</v>
      </c>
      <c r="N639" s="373"/>
    </row>
    <row r="640" spans="1:14" ht="12.75">
      <c r="A640">
        <v>633</v>
      </c>
      <c r="B640" s="557" t="s">
        <v>4970</v>
      </c>
      <c r="C640" t="s">
        <v>4971</v>
      </c>
      <c r="D640" s="107" t="s">
        <v>2522</v>
      </c>
      <c r="E640">
        <v>46</v>
      </c>
      <c r="F640" s="556">
        <v>79</v>
      </c>
      <c r="G640" s="541">
        <v>1715</v>
      </c>
      <c r="H640" s="560">
        <v>0.01</v>
      </c>
      <c r="I640" s="107">
        <v>1</v>
      </c>
      <c r="K640" s="370">
        <v>2369</v>
      </c>
      <c r="L640" s="371" t="s">
        <v>3957</v>
      </c>
      <c r="M640" s="372" t="s">
        <v>2821</v>
      </c>
      <c r="N640" s="373"/>
    </row>
    <row r="641" spans="1:14" ht="12.75">
      <c r="A641">
        <v>634</v>
      </c>
      <c r="B641" s="557">
        <v>6560</v>
      </c>
      <c r="C641" t="s">
        <v>4972</v>
      </c>
      <c r="D641" s="107" t="s">
        <v>2439</v>
      </c>
      <c r="E641">
        <v>4996</v>
      </c>
      <c r="F641" s="556">
        <v>79</v>
      </c>
      <c r="G641" s="541">
        <v>15.72</v>
      </c>
      <c r="H641" s="560">
        <v>0.01</v>
      </c>
      <c r="I641" s="107">
        <v>6</v>
      </c>
      <c r="K641" s="370">
        <v>2371</v>
      </c>
      <c r="L641" s="371" t="s">
        <v>3958</v>
      </c>
      <c r="M641" s="372" t="s">
        <v>2821</v>
      </c>
      <c r="N641" s="373"/>
    </row>
    <row r="642" spans="1:14" ht="12.75">
      <c r="A642">
        <v>635</v>
      </c>
      <c r="B642" s="557" t="s">
        <v>3476</v>
      </c>
      <c r="C642" t="s">
        <v>4973</v>
      </c>
      <c r="D642" s="107" t="s">
        <v>2522</v>
      </c>
      <c r="E642">
        <v>62</v>
      </c>
      <c r="F642" s="556">
        <v>78</v>
      </c>
      <c r="G642" s="541">
        <v>1264.61</v>
      </c>
      <c r="H642" s="560">
        <v>0.01</v>
      </c>
      <c r="I642" s="107">
        <v>27</v>
      </c>
      <c r="K642" s="370">
        <v>2372</v>
      </c>
      <c r="L642" s="371" t="s">
        <v>3959</v>
      </c>
      <c r="M642" s="372" t="s">
        <v>2821</v>
      </c>
      <c r="N642" s="373"/>
    </row>
    <row r="643" spans="1:14" ht="12.75">
      <c r="A643">
        <v>636</v>
      </c>
      <c r="B643" s="557">
        <v>340</v>
      </c>
      <c r="C643" t="s">
        <v>4974</v>
      </c>
      <c r="D643" s="107" t="s">
        <v>1771</v>
      </c>
      <c r="E643">
        <v>640</v>
      </c>
      <c r="F643" s="556">
        <v>78</v>
      </c>
      <c r="G643" s="541">
        <v>122</v>
      </c>
      <c r="H643" s="560">
        <v>0.01</v>
      </c>
      <c r="I643" s="107">
        <v>1</v>
      </c>
      <c r="K643" s="370">
        <v>2373</v>
      </c>
      <c r="L643" s="371" t="s">
        <v>3960</v>
      </c>
      <c r="M643" s="372" t="s">
        <v>2821</v>
      </c>
      <c r="N643" s="373"/>
    </row>
    <row r="644" spans="1:14" ht="12.75">
      <c r="A644">
        <v>637</v>
      </c>
      <c r="B644" s="557">
        <v>6404</v>
      </c>
      <c r="C644" t="s">
        <v>4975</v>
      </c>
      <c r="D644" s="107" t="s">
        <v>2522</v>
      </c>
      <c r="E644">
        <v>1449</v>
      </c>
      <c r="F644" s="556">
        <v>78</v>
      </c>
      <c r="G644" s="541">
        <v>53.76</v>
      </c>
      <c r="H644" s="560">
        <v>0.01</v>
      </c>
      <c r="I644" s="107">
        <v>16</v>
      </c>
      <c r="K644" s="370">
        <v>2377</v>
      </c>
      <c r="L644" s="371" t="s">
        <v>2212</v>
      </c>
      <c r="M644" s="372" t="s">
        <v>2821</v>
      </c>
      <c r="N644" s="373"/>
    </row>
    <row r="645" spans="1:14" ht="12.75">
      <c r="A645">
        <v>638</v>
      </c>
      <c r="B645" s="557" t="s">
        <v>1356</v>
      </c>
      <c r="C645" t="s">
        <v>4976</v>
      </c>
      <c r="D645" s="107" t="s">
        <v>2522</v>
      </c>
      <c r="E645">
        <v>275</v>
      </c>
      <c r="F645" s="556">
        <v>78</v>
      </c>
      <c r="G645" s="541">
        <v>282.84</v>
      </c>
      <c r="H645" s="560">
        <v>0.01</v>
      </c>
      <c r="I645" s="107">
        <v>11</v>
      </c>
      <c r="K645" s="370">
        <v>2378</v>
      </c>
      <c r="L645" s="371" t="s">
        <v>2213</v>
      </c>
      <c r="M645" s="372" t="s">
        <v>2821</v>
      </c>
      <c r="N645" s="373"/>
    </row>
    <row r="646" spans="1:16" ht="12.75">
      <c r="A646">
        <v>639</v>
      </c>
      <c r="B646" s="557">
        <v>14080</v>
      </c>
      <c r="C646" t="s">
        <v>4977</v>
      </c>
      <c r="D646" s="107" t="s">
        <v>2522</v>
      </c>
      <c r="E646">
        <v>18</v>
      </c>
      <c r="F646" s="556">
        <v>76</v>
      </c>
      <c r="G646" s="541">
        <v>4229.17</v>
      </c>
      <c r="H646" s="560">
        <v>0.01</v>
      </c>
      <c r="I646" s="107">
        <v>5</v>
      </c>
      <c r="K646" s="370">
        <v>2381</v>
      </c>
      <c r="L646" s="371" t="s">
        <v>2214</v>
      </c>
      <c r="M646" s="372" t="s">
        <v>751</v>
      </c>
      <c r="N646" s="373" t="s">
        <v>2215</v>
      </c>
      <c r="O646" s="374" t="s">
        <v>2214</v>
      </c>
      <c r="P646" s="374" t="s">
        <v>754</v>
      </c>
    </row>
    <row r="647" spans="1:14" ht="12.75">
      <c r="A647">
        <v>640</v>
      </c>
      <c r="B647" s="557" t="s">
        <v>4075</v>
      </c>
      <c r="C647" t="s">
        <v>4978</v>
      </c>
      <c r="D647" s="107" t="s">
        <v>2522</v>
      </c>
      <c r="E647">
        <v>19</v>
      </c>
      <c r="F647" s="556">
        <v>76</v>
      </c>
      <c r="G647" s="541">
        <v>4000</v>
      </c>
      <c r="H647" s="560">
        <v>0.01</v>
      </c>
      <c r="I647" s="107">
        <v>1</v>
      </c>
      <c r="K647" s="370">
        <v>2382</v>
      </c>
      <c r="L647" s="371" t="s">
        <v>2216</v>
      </c>
      <c r="M647" s="372" t="s">
        <v>2821</v>
      </c>
      <c r="N647" s="373"/>
    </row>
    <row r="648" spans="1:16" ht="12.75">
      <c r="A648">
        <v>641</v>
      </c>
      <c r="B648" s="557">
        <v>1740</v>
      </c>
      <c r="C648" t="s">
        <v>695</v>
      </c>
      <c r="D648" s="107" t="s">
        <v>2522</v>
      </c>
      <c r="E648">
        <v>302</v>
      </c>
      <c r="F648" s="556">
        <v>76</v>
      </c>
      <c r="G648" s="541">
        <v>251.57</v>
      </c>
      <c r="H648" s="560">
        <v>0.01</v>
      </c>
      <c r="I648" s="107">
        <v>14</v>
      </c>
      <c r="K648" s="370">
        <v>2383</v>
      </c>
      <c r="L648" s="371" t="s">
        <v>2217</v>
      </c>
      <c r="M648" s="372" t="s">
        <v>751</v>
      </c>
      <c r="N648" s="373" t="s">
        <v>2218</v>
      </c>
      <c r="O648" s="374" t="s">
        <v>2217</v>
      </c>
      <c r="P648" s="374" t="s">
        <v>754</v>
      </c>
    </row>
    <row r="649" spans="1:14" ht="12.75">
      <c r="A649">
        <v>642</v>
      </c>
      <c r="B649" s="557">
        <v>4934</v>
      </c>
      <c r="C649" t="s">
        <v>4979</v>
      </c>
      <c r="D649" s="107" t="s">
        <v>2522</v>
      </c>
      <c r="E649">
        <v>5</v>
      </c>
      <c r="F649" s="556">
        <v>76</v>
      </c>
      <c r="G649" s="541">
        <v>15177</v>
      </c>
      <c r="H649" s="560">
        <v>0.01</v>
      </c>
      <c r="I649" s="107">
        <v>5</v>
      </c>
      <c r="K649" s="370">
        <v>2384</v>
      </c>
      <c r="L649" s="371" t="s">
        <v>2219</v>
      </c>
      <c r="M649" s="372" t="s">
        <v>2821</v>
      </c>
      <c r="N649" s="373"/>
    </row>
    <row r="650" spans="1:16" ht="12.75">
      <c r="A650">
        <v>643</v>
      </c>
      <c r="B650" s="557" t="s">
        <v>4980</v>
      </c>
      <c r="C650" t="s">
        <v>4981</v>
      </c>
      <c r="D650" s="107" t="s">
        <v>1771</v>
      </c>
      <c r="E650">
        <v>72</v>
      </c>
      <c r="F650" s="556">
        <v>76</v>
      </c>
      <c r="G650" s="541">
        <v>1050</v>
      </c>
      <c r="H650" s="560">
        <v>0.01</v>
      </c>
      <c r="I650" s="107">
        <v>1</v>
      </c>
      <c r="K650" s="370">
        <v>2385</v>
      </c>
      <c r="L650" s="371" t="s">
        <v>2220</v>
      </c>
      <c r="M650" s="372" t="s">
        <v>751</v>
      </c>
      <c r="N650" s="373" t="s">
        <v>2568</v>
      </c>
      <c r="O650" s="374" t="s">
        <v>2220</v>
      </c>
      <c r="P650" s="374" t="s">
        <v>754</v>
      </c>
    </row>
    <row r="651" spans="1:14" ht="12.75">
      <c r="A651">
        <v>644</v>
      </c>
      <c r="B651" s="557">
        <v>1946</v>
      </c>
      <c r="C651" t="s">
        <v>4982</v>
      </c>
      <c r="D651" s="107" t="s">
        <v>1772</v>
      </c>
      <c r="E651">
        <v>700</v>
      </c>
      <c r="F651" s="556">
        <v>75</v>
      </c>
      <c r="G651" s="541">
        <v>107.5</v>
      </c>
      <c r="H651" s="560">
        <v>0.01</v>
      </c>
      <c r="I651" s="107">
        <v>1</v>
      </c>
      <c r="K651" s="370">
        <v>2387</v>
      </c>
      <c r="L651" s="371" t="s">
        <v>2569</v>
      </c>
      <c r="M651" s="372" t="s">
        <v>2821</v>
      </c>
      <c r="N651" s="373"/>
    </row>
    <row r="652" spans="1:14" ht="12.75">
      <c r="A652">
        <v>645</v>
      </c>
      <c r="B652" s="557" t="s">
        <v>4248</v>
      </c>
      <c r="C652" t="s">
        <v>4983</v>
      </c>
      <c r="D652" s="107" t="s">
        <v>1773</v>
      </c>
      <c r="E652">
        <v>917</v>
      </c>
      <c r="F652" s="556">
        <v>75</v>
      </c>
      <c r="G652" s="541">
        <v>82</v>
      </c>
      <c r="H652" s="560">
        <v>0.01</v>
      </c>
      <c r="I652" s="107">
        <v>1</v>
      </c>
      <c r="K652" s="370">
        <v>2388</v>
      </c>
      <c r="L652" s="371" t="s">
        <v>2570</v>
      </c>
      <c r="M652" s="372" t="s">
        <v>2821</v>
      </c>
      <c r="N652" s="373"/>
    </row>
    <row r="653" spans="1:14" ht="12.75">
      <c r="A653">
        <v>646</v>
      </c>
      <c r="B653" s="557">
        <v>1497</v>
      </c>
      <c r="C653" t="s">
        <v>4984</v>
      </c>
      <c r="D653" s="107" t="s">
        <v>2522</v>
      </c>
      <c r="E653">
        <v>10</v>
      </c>
      <c r="F653" s="556">
        <v>75</v>
      </c>
      <c r="G653" s="541">
        <v>7500</v>
      </c>
      <c r="H653" s="560">
        <v>0.01</v>
      </c>
      <c r="I653" s="107">
        <v>1</v>
      </c>
      <c r="K653" s="370">
        <v>2390</v>
      </c>
      <c r="L653" s="371" t="s">
        <v>2571</v>
      </c>
      <c r="M653" s="372" t="s">
        <v>2821</v>
      </c>
      <c r="N653" s="373"/>
    </row>
    <row r="654" spans="1:14" ht="12.75">
      <c r="A654">
        <v>647</v>
      </c>
      <c r="B654" s="557">
        <v>14032</v>
      </c>
      <c r="C654" t="s">
        <v>4985</v>
      </c>
      <c r="D654" s="107" t="s">
        <v>2522</v>
      </c>
      <c r="E654">
        <v>1</v>
      </c>
      <c r="F654" s="556">
        <v>75</v>
      </c>
      <c r="G654" s="541">
        <v>75000</v>
      </c>
      <c r="H654" s="560">
        <v>0.01</v>
      </c>
      <c r="I654" s="107">
        <v>1</v>
      </c>
      <c r="K654" s="370">
        <v>2391</v>
      </c>
      <c r="L654" s="371" t="s">
        <v>2572</v>
      </c>
      <c r="M654" s="372" t="s">
        <v>2821</v>
      </c>
      <c r="N654" s="373"/>
    </row>
    <row r="655" spans="1:14" ht="12.75">
      <c r="A655">
        <v>648</v>
      </c>
      <c r="B655" s="557">
        <v>15084</v>
      </c>
      <c r="C655" t="s">
        <v>4986</v>
      </c>
      <c r="D655" s="107" t="s">
        <v>2522</v>
      </c>
      <c r="E655">
        <v>3</v>
      </c>
      <c r="F655" s="556">
        <v>75</v>
      </c>
      <c r="G655" s="541">
        <v>25000</v>
      </c>
      <c r="H655" s="560">
        <v>0.01</v>
      </c>
      <c r="I655" s="107">
        <v>1</v>
      </c>
      <c r="K655" s="370">
        <v>2392</v>
      </c>
      <c r="L655" s="371" t="s">
        <v>2573</v>
      </c>
      <c r="M655" s="372" t="s">
        <v>2821</v>
      </c>
      <c r="N655" s="373"/>
    </row>
    <row r="656" spans="1:14" ht="12.75">
      <c r="A656">
        <v>649</v>
      </c>
      <c r="B656" s="557">
        <v>16030</v>
      </c>
      <c r="C656" t="s">
        <v>4987</v>
      </c>
      <c r="D656" s="107" t="s">
        <v>2522</v>
      </c>
      <c r="E656">
        <v>1</v>
      </c>
      <c r="F656" s="556">
        <v>75</v>
      </c>
      <c r="G656" s="541">
        <v>75000</v>
      </c>
      <c r="H656" s="560">
        <v>0.01</v>
      </c>
      <c r="I656" s="107">
        <v>1</v>
      </c>
      <c r="K656" s="370">
        <v>2394</v>
      </c>
      <c r="L656" s="371" t="s">
        <v>2574</v>
      </c>
      <c r="M656" s="372" t="s">
        <v>2821</v>
      </c>
      <c r="N656" s="373"/>
    </row>
    <row r="657" spans="1:14" ht="12.75">
      <c r="A657">
        <v>650</v>
      </c>
      <c r="B657" s="557">
        <v>40163</v>
      </c>
      <c r="C657" t="s">
        <v>4988</v>
      </c>
      <c r="D657" s="107" t="s">
        <v>2441</v>
      </c>
      <c r="E657">
        <v>1</v>
      </c>
      <c r="F657" s="556">
        <v>75</v>
      </c>
      <c r="G657" s="541">
        <v>75000</v>
      </c>
      <c r="H657" s="560">
        <v>0.01</v>
      </c>
      <c r="I657" s="107">
        <v>1</v>
      </c>
      <c r="K657" s="370">
        <v>2395</v>
      </c>
      <c r="L657" s="371" t="s">
        <v>2575</v>
      </c>
      <c r="M657" s="372" t="s">
        <v>2821</v>
      </c>
      <c r="N657" s="373"/>
    </row>
    <row r="658" spans="1:14" ht="12.75">
      <c r="A658">
        <v>651</v>
      </c>
      <c r="B658" s="557">
        <v>40137</v>
      </c>
      <c r="C658" t="s">
        <v>4989</v>
      </c>
      <c r="D658" s="107" t="s">
        <v>2522</v>
      </c>
      <c r="E658">
        <v>45</v>
      </c>
      <c r="F658" s="556">
        <v>74</v>
      </c>
      <c r="G658" s="541">
        <v>1650</v>
      </c>
      <c r="H658" s="560">
        <v>0.01</v>
      </c>
      <c r="I658" s="107">
        <v>1</v>
      </c>
      <c r="K658" s="370">
        <v>2396</v>
      </c>
      <c r="L658" s="371" t="s">
        <v>2576</v>
      </c>
      <c r="M658" s="372" t="s">
        <v>2821</v>
      </c>
      <c r="N658" s="373"/>
    </row>
    <row r="659" spans="1:16" ht="12.75">
      <c r="A659">
        <v>652</v>
      </c>
      <c r="B659" s="557" t="s">
        <v>4296</v>
      </c>
      <c r="C659" t="s">
        <v>4990</v>
      </c>
      <c r="D659" s="107" t="s">
        <v>2439</v>
      </c>
      <c r="E659">
        <v>3588</v>
      </c>
      <c r="F659" s="556">
        <v>74</v>
      </c>
      <c r="G659" s="541">
        <v>20.69</v>
      </c>
      <c r="H659" s="560">
        <v>0.01</v>
      </c>
      <c r="I659" s="107">
        <v>8</v>
      </c>
      <c r="K659" s="370">
        <v>2397</v>
      </c>
      <c r="L659" s="371" t="s">
        <v>2577</v>
      </c>
      <c r="M659" s="372" t="s">
        <v>751</v>
      </c>
      <c r="N659" s="373" t="s">
        <v>2578</v>
      </c>
      <c r="O659" s="374" t="s">
        <v>2577</v>
      </c>
      <c r="P659" s="374" t="s">
        <v>754</v>
      </c>
    </row>
    <row r="660" spans="1:14" ht="12.75">
      <c r="A660">
        <v>653</v>
      </c>
      <c r="B660" s="557" t="s">
        <v>4081</v>
      </c>
      <c r="C660" t="s">
        <v>4991</v>
      </c>
      <c r="D660" s="107" t="s">
        <v>1771</v>
      </c>
      <c r="E660">
        <v>510</v>
      </c>
      <c r="F660" s="556">
        <v>74</v>
      </c>
      <c r="G660" s="541">
        <v>144.5</v>
      </c>
      <c r="H660" s="560">
        <v>0.01</v>
      </c>
      <c r="I660" s="107">
        <v>1</v>
      </c>
      <c r="K660" s="370">
        <v>2398</v>
      </c>
      <c r="L660" s="371" t="s">
        <v>2579</v>
      </c>
      <c r="M660" s="372" t="s">
        <v>2821</v>
      </c>
      <c r="N660" s="373"/>
    </row>
    <row r="661" spans="1:14" ht="12.75">
      <c r="A661">
        <v>654</v>
      </c>
      <c r="B661" s="557">
        <v>1891</v>
      </c>
      <c r="C661" t="s">
        <v>4992</v>
      </c>
      <c r="D661" s="107" t="s">
        <v>2439</v>
      </c>
      <c r="E661">
        <v>1748</v>
      </c>
      <c r="F661" s="556">
        <v>73</v>
      </c>
      <c r="G661" s="541">
        <v>41.95</v>
      </c>
      <c r="H661" s="560">
        <v>0.01</v>
      </c>
      <c r="I661" s="107">
        <v>7</v>
      </c>
      <c r="K661" s="370">
        <v>2399</v>
      </c>
      <c r="L661" s="371" t="s">
        <v>2580</v>
      </c>
      <c r="M661" s="372" t="s">
        <v>2821</v>
      </c>
      <c r="N661" s="373"/>
    </row>
    <row r="662" spans="1:16" ht="12.75">
      <c r="A662">
        <v>655</v>
      </c>
      <c r="B662" s="557" t="s">
        <v>4026</v>
      </c>
      <c r="C662" t="s">
        <v>4993</v>
      </c>
      <c r="D662" s="107" t="s">
        <v>2522</v>
      </c>
      <c r="E662">
        <v>115</v>
      </c>
      <c r="F662" s="556">
        <v>73</v>
      </c>
      <c r="G662" s="541">
        <v>635.91</v>
      </c>
      <c r="H662" s="560">
        <v>0.01</v>
      </c>
      <c r="I662" s="107">
        <v>8</v>
      </c>
      <c r="K662" s="370">
        <v>2402</v>
      </c>
      <c r="L662" s="371" t="s">
        <v>2581</v>
      </c>
      <c r="M662" s="372" t="s">
        <v>3195</v>
      </c>
      <c r="N662" s="373" t="s">
        <v>2582</v>
      </c>
      <c r="O662" s="374" t="s">
        <v>2581</v>
      </c>
      <c r="P662" s="374" t="s">
        <v>3197</v>
      </c>
    </row>
    <row r="663" spans="1:16" ht="12.75">
      <c r="A663">
        <v>656</v>
      </c>
      <c r="B663" s="557">
        <v>1550</v>
      </c>
      <c r="C663" t="s">
        <v>4994</v>
      </c>
      <c r="D663" s="107" t="s">
        <v>2439</v>
      </c>
      <c r="E663">
        <v>56</v>
      </c>
      <c r="F663" s="556">
        <v>73</v>
      </c>
      <c r="G663" s="541">
        <v>1294.64</v>
      </c>
      <c r="H663" s="560">
        <v>0.01</v>
      </c>
      <c r="I663" s="107">
        <v>3</v>
      </c>
      <c r="K663" s="370">
        <v>2403</v>
      </c>
      <c r="L663" s="371" t="s">
        <v>2583</v>
      </c>
      <c r="M663" s="372" t="s">
        <v>3195</v>
      </c>
      <c r="N663" s="373" t="s">
        <v>2584</v>
      </c>
      <c r="O663" s="374" t="s">
        <v>2583</v>
      </c>
      <c r="P663" s="374" t="s">
        <v>3197</v>
      </c>
    </row>
    <row r="664" spans="1:14" ht="12.75">
      <c r="A664">
        <v>657</v>
      </c>
      <c r="B664" s="557">
        <v>1547</v>
      </c>
      <c r="C664" t="s">
        <v>4995</v>
      </c>
      <c r="D664" s="107" t="s">
        <v>2439</v>
      </c>
      <c r="E664">
        <v>139</v>
      </c>
      <c r="F664" s="556">
        <v>72</v>
      </c>
      <c r="G664" s="541">
        <v>520</v>
      </c>
      <c r="H664" s="560">
        <v>0.01</v>
      </c>
      <c r="I664" s="107">
        <v>1</v>
      </c>
      <c r="K664" s="370">
        <v>2404</v>
      </c>
      <c r="L664" s="371" t="s">
        <v>2585</v>
      </c>
      <c r="M664" s="372" t="s">
        <v>2821</v>
      </c>
      <c r="N664" s="373"/>
    </row>
    <row r="665" spans="1:14" ht="12.75">
      <c r="A665">
        <v>658</v>
      </c>
      <c r="B665" s="557">
        <v>473</v>
      </c>
      <c r="C665" t="s">
        <v>4996</v>
      </c>
      <c r="D665" s="107" t="s">
        <v>2439</v>
      </c>
      <c r="E665">
        <v>197</v>
      </c>
      <c r="F665" s="556">
        <v>72</v>
      </c>
      <c r="G665" s="541">
        <v>366.49</v>
      </c>
      <c r="H665" s="560">
        <v>0.01</v>
      </c>
      <c r="I665" s="107">
        <v>2</v>
      </c>
      <c r="K665" s="370">
        <v>2429</v>
      </c>
      <c r="L665" s="371" t="s">
        <v>2586</v>
      </c>
      <c r="M665" s="372" t="s">
        <v>2821</v>
      </c>
      <c r="N665" s="373"/>
    </row>
    <row r="666" spans="1:14" ht="12.75">
      <c r="A666">
        <v>659</v>
      </c>
      <c r="B666" s="557">
        <v>2601</v>
      </c>
      <c r="C666" t="s">
        <v>4997</v>
      </c>
      <c r="D666" s="107" t="s">
        <v>2439</v>
      </c>
      <c r="E666">
        <v>10533</v>
      </c>
      <c r="F666" s="556">
        <v>72</v>
      </c>
      <c r="G666" s="541">
        <v>6.83</v>
      </c>
      <c r="H666" s="560">
        <v>0.01</v>
      </c>
      <c r="I666" s="107">
        <v>1</v>
      </c>
      <c r="K666" s="370">
        <v>2430</v>
      </c>
      <c r="L666" s="371" t="s">
        <v>2587</v>
      </c>
      <c r="M666" s="372" t="s">
        <v>2821</v>
      </c>
      <c r="N666" s="373"/>
    </row>
    <row r="667" spans="1:14" ht="12.75">
      <c r="A667">
        <v>660</v>
      </c>
      <c r="B667" s="557">
        <v>4860</v>
      </c>
      <c r="C667" t="s">
        <v>4998</v>
      </c>
      <c r="D667" s="107" t="s">
        <v>2439</v>
      </c>
      <c r="E667">
        <v>7890</v>
      </c>
      <c r="F667" s="556">
        <v>72</v>
      </c>
      <c r="G667" s="541">
        <v>9.12</v>
      </c>
      <c r="H667" s="560">
        <v>0.01</v>
      </c>
      <c r="I667" s="107">
        <v>5</v>
      </c>
      <c r="K667" s="370">
        <v>2431</v>
      </c>
      <c r="L667" s="371" t="s">
        <v>2588</v>
      </c>
      <c r="M667" s="372" t="s">
        <v>2821</v>
      </c>
      <c r="N667" s="373"/>
    </row>
    <row r="668" spans="1:14" ht="12.75">
      <c r="A668">
        <v>661</v>
      </c>
      <c r="B668" s="557" t="s">
        <v>4999</v>
      </c>
      <c r="C668" t="s">
        <v>5000</v>
      </c>
      <c r="D668" s="107" t="s">
        <v>2439</v>
      </c>
      <c r="E668">
        <v>287</v>
      </c>
      <c r="F668" s="556">
        <v>72</v>
      </c>
      <c r="G668" s="541">
        <v>250</v>
      </c>
      <c r="H668" s="560">
        <v>0.01</v>
      </c>
      <c r="I668" s="107">
        <v>1</v>
      </c>
      <c r="K668" s="370">
        <v>2432</v>
      </c>
      <c r="L668" s="371" t="s">
        <v>2589</v>
      </c>
      <c r="M668" s="372" t="s">
        <v>2821</v>
      </c>
      <c r="N668" s="373"/>
    </row>
    <row r="669" spans="1:14" ht="12.75">
      <c r="A669">
        <v>662</v>
      </c>
      <c r="B669" s="557" t="s">
        <v>2645</v>
      </c>
      <c r="C669" t="s">
        <v>5001</v>
      </c>
      <c r="D669" s="107" t="s">
        <v>2439</v>
      </c>
      <c r="E669">
        <v>508</v>
      </c>
      <c r="F669" s="556">
        <v>72</v>
      </c>
      <c r="G669" s="541">
        <v>141.02</v>
      </c>
      <c r="H669" s="560">
        <v>0.01</v>
      </c>
      <c r="I669" s="107">
        <v>2</v>
      </c>
      <c r="K669" s="370">
        <v>2433</v>
      </c>
      <c r="L669" s="371" t="s">
        <v>2590</v>
      </c>
      <c r="M669" s="372" t="s">
        <v>2821</v>
      </c>
      <c r="N669" s="373"/>
    </row>
    <row r="670" spans="1:14" ht="12.75">
      <c r="A670">
        <v>663</v>
      </c>
      <c r="B670" s="557">
        <v>6530</v>
      </c>
      <c r="C670" t="s">
        <v>5002</v>
      </c>
      <c r="D670" s="107" t="s">
        <v>2439</v>
      </c>
      <c r="E670">
        <v>98505</v>
      </c>
      <c r="F670" s="556">
        <v>72</v>
      </c>
      <c r="G670" s="541">
        <v>0.73</v>
      </c>
      <c r="H670" s="560">
        <v>0.01</v>
      </c>
      <c r="I670" s="107">
        <v>5</v>
      </c>
      <c r="K670" s="370">
        <v>2434</v>
      </c>
      <c r="L670" s="371" t="s">
        <v>2591</v>
      </c>
      <c r="M670" s="372" t="s">
        <v>2821</v>
      </c>
      <c r="N670" s="373"/>
    </row>
    <row r="671" spans="1:14" ht="12.75">
      <c r="A671">
        <v>664</v>
      </c>
      <c r="B671" s="557" t="s">
        <v>4044</v>
      </c>
      <c r="C671" t="s">
        <v>5003</v>
      </c>
      <c r="D671" s="107" t="s">
        <v>2522</v>
      </c>
      <c r="E671">
        <v>312</v>
      </c>
      <c r="F671" s="556">
        <v>72</v>
      </c>
      <c r="G671" s="541">
        <v>229.28</v>
      </c>
      <c r="H671" s="560">
        <v>0.01</v>
      </c>
      <c r="I671" s="107">
        <v>3</v>
      </c>
      <c r="K671" s="370">
        <v>2435</v>
      </c>
      <c r="L671" s="371" t="s">
        <v>2592</v>
      </c>
      <c r="M671" s="372" t="s">
        <v>2821</v>
      </c>
      <c r="N671" s="373"/>
    </row>
    <row r="672" spans="1:14" ht="12.75">
      <c r="A672">
        <v>665</v>
      </c>
      <c r="B672" s="557" t="s">
        <v>5004</v>
      </c>
      <c r="C672" t="s">
        <v>5005</v>
      </c>
      <c r="D672" s="107" t="s">
        <v>2439</v>
      </c>
      <c r="E672">
        <v>61</v>
      </c>
      <c r="F672" s="556">
        <v>71</v>
      </c>
      <c r="G672" s="541">
        <v>1168.16</v>
      </c>
      <c r="H672" s="560">
        <v>0.01</v>
      </c>
      <c r="I672" s="107">
        <v>1</v>
      </c>
      <c r="K672" s="370">
        <v>2436</v>
      </c>
      <c r="L672" s="371" t="s">
        <v>2593</v>
      </c>
      <c r="M672" s="372" t="s">
        <v>2821</v>
      </c>
      <c r="N672" s="373"/>
    </row>
    <row r="673" spans="1:14" ht="12.75">
      <c r="A673">
        <v>666</v>
      </c>
      <c r="B673" s="557">
        <v>15068</v>
      </c>
      <c r="C673" t="s">
        <v>5006</v>
      </c>
      <c r="D673" s="107" t="s">
        <v>2439</v>
      </c>
      <c r="E673">
        <v>173</v>
      </c>
      <c r="F673" s="556">
        <v>71</v>
      </c>
      <c r="G673" s="541">
        <v>410</v>
      </c>
      <c r="H673" s="560">
        <v>0.01</v>
      </c>
      <c r="I673" s="107">
        <v>1</v>
      </c>
      <c r="K673" s="370">
        <v>2437</v>
      </c>
      <c r="L673" s="371" t="s">
        <v>2594</v>
      </c>
      <c r="M673" s="372" t="s">
        <v>2821</v>
      </c>
      <c r="N673" s="373"/>
    </row>
    <row r="674" spans="1:14" ht="12.75">
      <c r="A674">
        <v>667</v>
      </c>
      <c r="B674" s="557">
        <v>6411</v>
      </c>
      <c r="C674" t="s">
        <v>5007</v>
      </c>
      <c r="D674" s="107" t="s">
        <v>2439</v>
      </c>
      <c r="E674">
        <v>3449</v>
      </c>
      <c r="F674" s="556">
        <v>71</v>
      </c>
      <c r="G674" s="541">
        <v>20.48</v>
      </c>
      <c r="H674" s="560">
        <v>0.01</v>
      </c>
      <c r="I674" s="107">
        <v>4</v>
      </c>
      <c r="K674" s="370">
        <v>2438</v>
      </c>
      <c r="L674" s="371" t="s">
        <v>2595</v>
      </c>
      <c r="M674" s="372" t="s">
        <v>2821</v>
      </c>
      <c r="N674" s="373"/>
    </row>
    <row r="675" spans="1:14" ht="12.75">
      <c r="A675">
        <v>668</v>
      </c>
      <c r="B675" s="557">
        <v>2396</v>
      </c>
      <c r="C675" t="s">
        <v>5008</v>
      </c>
      <c r="D675" s="107" t="s">
        <v>2522</v>
      </c>
      <c r="E675">
        <v>354</v>
      </c>
      <c r="F675" s="556">
        <v>70</v>
      </c>
      <c r="G675" s="541">
        <v>198.76</v>
      </c>
      <c r="H675" s="560">
        <v>0.01</v>
      </c>
      <c r="I675" s="107">
        <v>18</v>
      </c>
      <c r="K675" s="370">
        <v>2439</v>
      </c>
      <c r="L675" s="371" t="s">
        <v>2596</v>
      </c>
      <c r="M675" s="372" t="s">
        <v>2821</v>
      </c>
      <c r="N675" s="373"/>
    </row>
    <row r="676" spans="1:14" ht="12.75">
      <c r="A676">
        <v>669</v>
      </c>
      <c r="B676" s="557" t="s">
        <v>4019</v>
      </c>
      <c r="C676" t="s">
        <v>5009</v>
      </c>
      <c r="D676" s="107" t="s">
        <v>2522</v>
      </c>
      <c r="E676">
        <v>135</v>
      </c>
      <c r="F676" s="556">
        <v>70</v>
      </c>
      <c r="G676" s="541">
        <v>520.24</v>
      </c>
      <c r="H676" s="560">
        <v>0.01</v>
      </c>
      <c r="I676" s="107">
        <v>30</v>
      </c>
      <c r="K676" s="370">
        <v>2440</v>
      </c>
      <c r="L676" s="371" t="s">
        <v>2597</v>
      </c>
      <c r="M676" s="372" t="s">
        <v>2821</v>
      </c>
      <c r="N676" s="373"/>
    </row>
    <row r="677" spans="1:14" ht="12.75">
      <c r="A677">
        <v>670</v>
      </c>
      <c r="B677" s="557" t="s">
        <v>5010</v>
      </c>
      <c r="C677" t="s">
        <v>5011</v>
      </c>
      <c r="D677" s="107" t="s">
        <v>2439</v>
      </c>
      <c r="E677">
        <v>28</v>
      </c>
      <c r="F677" s="556">
        <v>70</v>
      </c>
      <c r="G677" s="541">
        <v>2500</v>
      </c>
      <c r="H677" s="560">
        <v>0.01</v>
      </c>
      <c r="I677" s="107">
        <v>1</v>
      </c>
      <c r="K677" s="370">
        <v>2446</v>
      </c>
      <c r="L677" s="371" t="s">
        <v>2598</v>
      </c>
      <c r="M677" s="372" t="s">
        <v>2821</v>
      </c>
      <c r="N677" s="373"/>
    </row>
    <row r="678" spans="1:14" ht="12.75">
      <c r="A678">
        <v>671</v>
      </c>
      <c r="B678" s="557">
        <v>2707</v>
      </c>
      <c r="C678" t="s">
        <v>5012</v>
      </c>
      <c r="D678" s="107" t="s">
        <v>2522</v>
      </c>
      <c r="E678">
        <v>2928</v>
      </c>
      <c r="F678" s="556">
        <v>70</v>
      </c>
      <c r="G678" s="541">
        <v>23.77</v>
      </c>
      <c r="H678" s="560">
        <v>0.01</v>
      </c>
      <c r="I678" s="107">
        <v>86</v>
      </c>
      <c r="K678" s="370">
        <v>2460</v>
      </c>
      <c r="L678" s="371" t="s">
        <v>2599</v>
      </c>
      <c r="M678" s="372" t="s">
        <v>2821</v>
      </c>
      <c r="N678" s="373"/>
    </row>
    <row r="679" spans="1:14" ht="12.75">
      <c r="A679">
        <v>672</v>
      </c>
      <c r="B679" s="557" t="s">
        <v>5013</v>
      </c>
      <c r="C679" t="s">
        <v>5014</v>
      </c>
      <c r="D679" s="107" t="s">
        <v>2439</v>
      </c>
      <c r="E679">
        <v>2780</v>
      </c>
      <c r="F679" s="556">
        <v>70</v>
      </c>
      <c r="G679" s="541">
        <v>25</v>
      </c>
      <c r="H679" s="560">
        <v>0.01</v>
      </c>
      <c r="I679" s="107">
        <v>1</v>
      </c>
      <c r="K679" s="370">
        <v>2469</v>
      </c>
      <c r="L679" s="371" t="s">
        <v>2600</v>
      </c>
      <c r="M679" s="372" t="s">
        <v>2821</v>
      </c>
      <c r="N679" s="373"/>
    </row>
    <row r="680" spans="1:16" ht="12.75">
      <c r="A680">
        <v>673</v>
      </c>
      <c r="B680" s="557">
        <v>14017</v>
      </c>
      <c r="C680" t="s">
        <v>5015</v>
      </c>
      <c r="D680" s="107" t="s">
        <v>2439</v>
      </c>
      <c r="E680">
        <v>140</v>
      </c>
      <c r="F680" s="556">
        <v>69</v>
      </c>
      <c r="G680" s="541">
        <v>494.21</v>
      </c>
      <c r="H680" s="560">
        <v>0.01</v>
      </c>
      <c r="I680" s="107">
        <v>2</v>
      </c>
      <c r="K680" s="370">
        <v>2471</v>
      </c>
      <c r="L680" s="371" t="s">
        <v>2601</v>
      </c>
      <c r="M680" s="372" t="s">
        <v>2821</v>
      </c>
      <c r="N680" s="373" t="s">
        <v>2602</v>
      </c>
      <c r="O680" s="374" t="s">
        <v>2601</v>
      </c>
      <c r="P680" s="374" t="s">
        <v>3175</v>
      </c>
    </row>
    <row r="681" spans="1:16" ht="12.75">
      <c r="A681">
        <v>674</v>
      </c>
      <c r="B681" s="557">
        <v>6576</v>
      </c>
      <c r="C681" t="s">
        <v>5016</v>
      </c>
      <c r="D681" s="107" t="s">
        <v>2522</v>
      </c>
      <c r="E681">
        <v>244</v>
      </c>
      <c r="F681" s="556">
        <v>69</v>
      </c>
      <c r="G681" s="541">
        <v>281.97</v>
      </c>
      <c r="H681" s="560">
        <v>0.01</v>
      </c>
      <c r="I681" s="107">
        <v>61</v>
      </c>
      <c r="K681" s="370">
        <v>2473</v>
      </c>
      <c r="L681" s="371" t="s">
        <v>2603</v>
      </c>
      <c r="M681" s="372" t="s">
        <v>974</v>
      </c>
      <c r="N681" s="373" t="s">
        <v>2604</v>
      </c>
      <c r="O681" s="374" t="s">
        <v>2603</v>
      </c>
      <c r="P681" s="374" t="s">
        <v>3175</v>
      </c>
    </row>
    <row r="682" spans="1:16" ht="12.75">
      <c r="A682">
        <v>675</v>
      </c>
      <c r="B682" s="557" t="s">
        <v>4115</v>
      </c>
      <c r="C682" t="s">
        <v>5017</v>
      </c>
      <c r="D682" s="107" t="s">
        <v>2522</v>
      </c>
      <c r="E682">
        <v>38</v>
      </c>
      <c r="F682" s="556">
        <v>69</v>
      </c>
      <c r="G682" s="541">
        <v>1806.33</v>
      </c>
      <c r="H682" s="560">
        <v>0.01</v>
      </c>
      <c r="I682" s="107">
        <v>19</v>
      </c>
      <c r="K682" s="370">
        <v>2475</v>
      </c>
      <c r="L682" s="371" t="s">
        <v>1383</v>
      </c>
      <c r="M682" s="372" t="s">
        <v>2821</v>
      </c>
      <c r="N682" s="373" t="s">
        <v>1384</v>
      </c>
      <c r="O682" s="374" t="s">
        <v>1383</v>
      </c>
      <c r="P682" s="374" t="s">
        <v>2821</v>
      </c>
    </row>
    <row r="683" spans="1:16" ht="12.75">
      <c r="A683">
        <v>676</v>
      </c>
      <c r="B683" s="557" t="s">
        <v>4163</v>
      </c>
      <c r="C683" t="s">
        <v>4164</v>
      </c>
      <c r="D683" s="107" t="s">
        <v>2439</v>
      </c>
      <c r="E683">
        <v>374</v>
      </c>
      <c r="F683" s="556">
        <v>68</v>
      </c>
      <c r="G683" s="541">
        <v>182.14</v>
      </c>
      <c r="H683" s="560">
        <v>0.01</v>
      </c>
      <c r="I683" s="107">
        <v>4</v>
      </c>
      <c r="K683" s="370">
        <v>2476</v>
      </c>
      <c r="L683" s="371" t="s">
        <v>1385</v>
      </c>
      <c r="M683" s="372" t="s">
        <v>3173</v>
      </c>
      <c r="N683" s="373" t="s">
        <v>1386</v>
      </c>
      <c r="O683" s="374" t="s">
        <v>1385</v>
      </c>
      <c r="P683" s="374" t="s">
        <v>3175</v>
      </c>
    </row>
    <row r="684" spans="1:16" ht="12.75">
      <c r="A684">
        <v>677</v>
      </c>
      <c r="B684" s="557">
        <v>2387</v>
      </c>
      <c r="C684" t="s">
        <v>5018</v>
      </c>
      <c r="D684" s="107" t="s">
        <v>2522</v>
      </c>
      <c r="E684">
        <v>102</v>
      </c>
      <c r="F684" s="556">
        <v>68</v>
      </c>
      <c r="G684" s="541">
        <v>666.51</v>
      </c>
      <c r="H684" s="560">
        <v>0.01</v>
      </c>
      <c r="I684" s="107">
        <v>9</v>
      </c>
      <c r="K684" s="370">
        <v>2477</v>
      </c>
      <c r="L684" s="371" t="s">
        <v>1387</v>
      </c>
      <c r="M684" s="372" t="s">
        <v>3173</v>
      </c>
      <c r="N684" s="373" t="s">
        <v>1388</v>
      </c>
      <c r="O684" s="374" t="s">
        <v>1387</v>
      </c>
      <c r="P684" s="374" t="s">
        <v>3175</v>
      </c>
    </row>
    <row r="685" spans="1:16" ht="12.75">
      <c r="A685">
        <v>678</v>
      </c>
      <c r="B685" s="557" t="s">
        <v>4132</v>
      </c>
      <c r="C685" t="s">
        <v>5019</v>
      </c>
      <c r="D685" s="107" t="s">
        <v>2439</v>
      </c>
      <c r="E685">
        <v>337</v>
      </c>
      <c r="F685" s="556">
        <v>68</v>
      </c>
      <c r="G685" s="541">
        <v>200.96</v>
      </c>
      <c r="H685" s="560">
        <v>0.01</v>
      </c>
      <c r="I685" s="107">
        <v>6</v>
      </c>
      <c r="K685" s="370">
        <v>2478</v>
      </c>
      <c r="L685" s="371" t="s">
        <v>1389</v>
      </c>
      <c r="M685" s="372" t="s">
        <v>3173</v>
      </c>
      <c r="N685" s="373" t="s">
        <v>1390</v>
      </c>
      <c r="O685" s="374" t="s">
        <v>1389</v>
      </c>
      <c r="P685" s="374" t="s">
        <v>3175</v>
      </c>
    </row>
    <row r="686" spans="1:16" ht="12.75">
      <c r="A686">
        <v>679</v>
      </c>
      <c r="B686" s="557" t="s">
        <v>5020</v>
      </c>
      <c r="C686" t="s">
        <v>5021</v>
      </c>
      <c r="D686" s="107" t="s">
        <v>2439</v>
      </c>
      <c r="E686">
        <v>31</v>
      </c>
      <c r="F686" s="556">
        <v>68</v>
      </c>
      <c r="G686" s="541">
        <v>2150</v>
      </c>
      <c r="H686" s="560">
        <v>0.01</v>
      </c>
      <c r="I686" s="107">
        <v>1</v>
      </c>
      <c r="K686" s="370">
        <v>2479</v>
      </c>
      <c r="L686" s="371" t="s">
        <v>1391</v>
      </c>
      <c r="M686" s="372" t="s">
        <v>3173</v>
      </c>
      <c r="N686" s="373" t="s">
        <v>1392</v>
      </c>
      <c r="O686" s="374" t="s">
        <v>1391</v>
      </c>
      <c r="P686" s="374" t="s">
        <v>3175</v>
      </c>
    </row>
    <row r="687" spans="1:16" ht="12.75">
      <c r="A687">
        <v>680</v>
      </c>
      <c r="B687" s="557" t="s">
        <v>5022</v>
      </c>
      <c r="C687" t="s">
        <v>5023</v>
      </c>
      <c r="D687" s="107" t="s">
        <v>3418</v>
      </c>
      <c r="E687">
        <v>30</v>
      </c>
      <c r="F687" s="556">
        <v>68</v>
      </c>
      <c r="G687" s="541">
        <v>2250</v>
      </c>
      <c r="H687" s="560">
        <v>0.01</v>
      </c>
      <c r="I687" s="107">
        <v>1</v>
      </c>
      <c r="K687" s="370">
        <v>2481</v>
      </c>
      <c r="L687" s="371" t="s">
        <v>1393</v>
      </c>
      <c r="M687" s="372" t="s">
        <v>3164</v>
      </c>
      <c r="N687" s="373" t="s">
        <v>1394</v>
      </c>
      <c r="O687" s="374" t="s">
        <v>1393</v>
      </c>
      <c r="P687" s="374" t="s">
        <v>3166</v>
      </c>
    </row>
    <row r="688" spans="1:16" ht="12.75">
      <c r="A688">
        <v>681</v>
      </c>
      <c r="B688" s="557">
        <v>2242</v>
      </c>
      <c r="C688" t="s">
        <v>5024</v>
      </c>
      <c r="D688" s="107" t="s">
        <v>3415</v>
      </c>
      <c r="E688">
        <v>21880</v>
      </c>
      <c r="F688" s="556">
        <v>67</v>
      </c>
      <c r="G688" s="541">
        <v>3.08</v>
      </c>
      <c r="H688" s="560">
        <v>0.01</v>
      </c>
      <c r="I688" s="107">
        <v>47</v>
      </c>
      <c r="K688" s="370">
        <v>2482</v>
      </c>
      <c r="L688" s="371" t="s">
        <v>1395</v>
      </c>
      <c r="M688" s="372" t="s">
        <v>3164</v>
      </c>
      <c r="N688" s="373" t="s">
        <v>1396</v>
      </c>
      <c r="O688" s="374" t="s">
        <v>1395</v>
      </c>
      <c r="P688" s="374" t="s">
        <v>3166</v>
      </c>
    </row>
    <row r="689" spans="1:16" ht="12.75">
      <c r="A689">
        <v>682</v>
      </c>
      <c r="B689" s="557">
        <v>1032</v>
      </c>
      <c r="C689" t="s">
        <v>5025</v>
      </c>
      <c r="D689" s="107" t="s">
        <v>2522</v>
      </c>
      <c r="E689">
        <v>75</v>
      </c>
      <c r="F689" s="556">
        <v>67</v>
      </c>
      <c r="G689" s="541">
        <v>893.71</v>
      </c>
      <c r="H689" s="560">
        <v>0.01</v>
      </c>
      <c r="I689" s="107">
        <v>11</v>
      </c>
      <c r="K689" s="370">
        <v>2483</v>
      </c>
      <c r="L689" s="371" t="s">
        <v>1397</v>
      </c>
      <c r="M689" s="372" t="s">
        <v>3164</v>
      </c>
      <c r="N689" s="373" t="s">
        <v>1398</v>
      </c>
      <c r="O689" s="374" t="s">
        <v>1397</v>
      </c>
      <c r="P689" s="374" t="s">
        <v>3166</v>
      </c>
    </row>
    <row r="690" spans="1:16" ht="12.75">
      <c r="A690">
        <v>683</v>
      </c>
      <c r="B690" s="557" t="s">
        <v>4111</v>
      </c>
      <c r="C690" t="s">
        <v>5026</v>
      </c>
      <c r="D690" s="107" t="s">
        <v>2522</v>
      </c>
      <c r="E690">
        <v>4</v>
      </c>
      <c r="F690" s="556">
        <v>67</v>
      </c>
      <c r="G690" s="541">
        <v>16750</v>
      </c>
      <c r="H690" s="560">
        <v>0.01</v>
      </c>
      <c r="I690" s="107">
        <v>2</v>
      </c>
      <c r="K690" s="370">
        <v>2484</v>
      </c>
      <c r="L690" s="371" t="s">
        <v>1399</v>
      </c>
      <c r="M690" s="372" t="s">
        <v>3164</v>
      </c>
      <c r="N690" s="373" t="s">
        <v>1400</v>
      </c>
      <c r="O690" s="374" t="s">
        <v>1399</v>
      </c>
      <c r="P690" s="374" t="s">
        <v>3166</v>
      </c>
    </row>
    <row r="691" spans="1:16" ht="12.75">
      <c r="A691">
        <v>684</v>
      </c>
      <c r="B691" s="557" t="s">
        <v>4305</v>
      </c>
      <c r="C691" t="s">
        <v>5027</v>
      </c>
      <c r="D691" s="107" t="s">
        <v>1772</v>
      </c>
      <c r="E691">
        <v>1729</v>
      </c>
      <c r="F691" s="556">
        <v>67</v>
      </c>
      <c r="G691" s="541">
        <v>38.72</v>
      </c>
      <c r="H691" s="560">
        <v>0.01</v>
      </c>
      <c r="I691" s="107">
        <v>3</v>
      </c>
      <c r="K691" s="370">
        <v>2488</v>
      </c>
      <c r="L691" s="371" t="s">
        <v>1401</v>
      </c>
      <c r="M691" s="372" t="s">
        <v>3195</v>
      </c>
      <c r="N691" s="373" t="s">
        <v>1402</v>
      </c>
      <c r="O691" s="374" t="s">
        <v>1401</v>
      </c>
      <c r="P691" s="374" t="s">
        <v>3197</v>
      </c>
    </row>
    <row r="692" spans="1:16" ht="12.75">
      <c r="A692">
        <v>685</v>
      </c>
      <c r="B692" s="557">
        <v>3000</v>
      </c>
      <c r="C692" t="s">
        <v>5028</v>
      </c>
      <c r="D692" s="107" t="s">
        <v>2439</v>
      </c>
      <c r="E692">
        <v>36</v>
      </c>
      <c r="F692" s="556">
        <v>67</v>
      </c>
      <c r="G692" s="541">
        <v>1850</v>
      </c>
      <c r="H692" s="560">
        <v>0.01</v>
      </c>
      <c r="I692" s="107">
        <v>1</v>
      </c>
      <c r="K692" s="370">
        <v>2535</v>
      </c>
      <c r="L692" s="371" t="s">
        <v>1403</v>
      </c>
      <c r="M692" s="372" t="s">
        <v>3164</v>
      </c>
      <c r="N692" s="373" t="s">
        <v>1404</v>
      </c>
      <c r="O692" s="374" t="s">
        <v>1403</v>
      </c>
      <c r="P692" s="374" t="s">
        <v>3166</v>
      </c>
    </row>
    <row r="693" spans="1:16" ht="12.75">
      <c r="A693">
        <v>686</v>
      </c>
      <c r="B693" s="557">
        <v>2383</v>
      </c>
      <c r="C693" t="s">
        <v>5029</v>
      </c>
      <c r="D693" s="107" t="s">
        <v>2439</v>
      </c>
      <c r="E693">
        <v>2353</v>
      </c>
      <c r="F693" s="556">
        <v>66</v>
      </c>
      <c r="G693" s="541">
        <v>28.04</v>
      </c>
      <c r="H693" s="560">
        <v>0.01</v>
      </c>
      <c r="I693" s="107">
        <v>9</v>
      </c>
      <c r="K693" s="370">
        <v>2542</v>
      </c>
      <c r="L693" s="371" t="s">
        <v>1405</v>
      </c>
      <c r="M693" s="372" t="s">
        <v>3164</v>
      </c>
      <c r="N693" s="373" t="s">
        <v>1406</v>
      </c>
      <c r="O693" s="374" t="s">
        <v>1405</v>
      </c>
      <c r="P693" s="374" t="s">
        <v>3166</v>
      </c>
    </row>
    <row r="694" spans="1:14" ht="12.75">
      <c r="A694">
        <v>687</v>
      </c>
      <c r="B694" s="557">
        <v>1982</v>
      </c>
      <c r="C694" t="s">
        <v>5030</v>
      </c>
      <c r="D694" s="107" t="s">
        <v>2522</v>
      </c>
      <c r="E694">
        <v>5493</v>
      </c>
      <c r="F694" s="556">
        <v>66</v>
      </c>
      <c r="G694" s="541">
        <v>11.98</v>
      </c>
      <c r="H694" s="560">
        <v>0.01</v>
      </c>
      <c r="I694" s="107">
        <v>33</v>
      </c>
      <c r="K694" s="370">
        <v>2545</v>
      </c>
      <c r="L694" s="371" t="s">
        <v>1407</v>
      </c>
      <c r="M694" s="372" t="s">
        <v>2819</v>
      </c>
      <c r="N694" s="373"/>
    </row>
    <row r="695" spans="1:16" ht="12.75">
      <c r="A695">
        <v>688</v>
      </c>
      <c r="B695" s="557" t="s">
        <v>4304</v>
      </c>
      <c r="C695" t="s">
        <v>5031</v>
      </c>
      <c r="D695" s="107" t="s">
        <v>2522</v>
      </c>
      <c r="E695">
        <v>204</v>
      </c>
      <c r="F695" s="556">
        <v>66</v>
      </c>
      <c r="G695" s="541">
        <v>321.29</v>
      </c>
      <c r="H695" s="560">
        <v>0.01</v>
      </c>
      <c r="I695" s="107">
        <v>6</v>
      </c>
      <c r="K695" s="370">
        <v>2551</v>
      </c>
      <c r="L695" s="371" t="s">
        <v>1408</v>
      </c>
      <c r="M695" s="372" t="s">
        <v>3195</v>
      </c>
      <c r="N695" s="373" t="s">
        <v>1409</v>
      </c>
      <c r="O695" s="374" t="s">
        <v>1408</v>
      </c>
      <c r="P695" s="374" t="s">
        <v>3197</v>
      </c>
    </row>
    <row r="696" spans="1:16" ht="12.75">
      <c r="A696">
        <v>689</v>
      </c>
      <c r="B696" s="557">
        <v>4775</v>
      </c>
      <c r="C696" t="s">
        <v>5032</v>
      </c>
      <c r="D696" s="107" t="s">
        <v>2522</v>
      </c>
      <c r="E696">
        <v>6</v>
      </c>
      <c r="F696" s="556">
        <v>65</v>
      </c>
      <c r="G696" s="541">
        <v>10866</v>
      </c>
      <c r="H696" s="560">
        <v>0.01</v>
      </c>
      <c r="I696" s="107">
        <v>2</v>
      </c>
      <c r="K696" s="370">
        <v>2555</v>
      </c>
      <c r="L696" s="371" t="s">
        <v>1410</v>
      </c>
      <c r="M696" s="372" t="s">
        <v>3195</v>
      </c>
      <c r="N696" s="373" t="s">
        <v>1411</v>
      </c>
      <c r="O696" s="374" t="s">
        <v>1410</v>
      </c>
      <c r="P696" s="374" t="s">
        <v>3197</v>
      </c>
    </row>
    <row r="697" spans="1:16" ht="12.75">
      <c r="A697">
        <v>690</v>
      </c>
      <c r="B697" s="557">
        <v>8472</v>
      </c>
      <c r="C697" t="s">
        <v>5033</v>
      </c>
      <c r="D697" s="107" t="s">
        <v>2439</v>
      </c>
      <c r="E697">
        <v>162</v>
      </c>
      <c r="F697" s="556">
        <v>65</v>
      </c>
      <c r="G697" s="541">
        <v>400</v>
      </c>
      <c r="H697" s="560">
        <v>0.01</v>
      </c>
      <c r="I697" s="107">
        <v>1</v>
      </c>
      <c r="K697" s="370">
        <v>2556</v>
      </c>
      <c r="L697" s="371" t="s">
        <v>1412</v>
      </c>
      <c r="M697" s="372" t="s">
        <v>3195</v>
      </c>
      <c r="N697" s="373" t="s">
        <v>1413</v>
      </c>
      <c r="O697" s="374" t="s">
        <v>1412</v>
      </c>
      <c r="P697" s="374" t="s">
        <v>3197</v>
      </c>
    </row>
    <row r="698" spans="1:16" ht="12.75">
      <c r="A698">
        <v>691</v>
      </c>
      <c r="B698" s="557">
        <v>14096</v>
      </c>
      <c r="C698" t="s">
        <v>5034</v>
      </c>
      <c r="D698" s="107" t="s">
        <v>2522</v>
      </c>
      <c r="E698">
        <v>8</v>
      </c>
      <c r="F698" s="556">
        <v>64</v>
      </c>
      <c r="G698" s="541">
        <v>8031</v>
      </c>
      <c r="H698" s="560">
        <v>0.01</v>
      </c>
      <c r="I698" s="107">
        <v>3</v>
      </c>
      <c r="K698" s="370">
        <v>2562</v>
      </c>
      <c r="L698" s="371" t="s">
        <v>1414</v>
      </c>
      <c r="M698" s="372" t="s">
        <v>974</v>
      </c>
      <c r="N698" s="373" t="s">
        <v>1415</v>
      </c>
      <c r="O698" s="374" t="s">
        <v>1414</v>
      </c>
      <c r="P698" s="374" t="s">
        <v>3175</v>
      </c>
    </row>
    <row r="699" spans="1:14" ht="12.75">
      <c r="A699">
        <v>692</v>
      </c>
      <c r="B699" s="557">
        <v>2360</v>
      </c>
      <c r="C699" t="s">
        <v>5035</v>
      </c>
      <c r="D699" s="107" t="s">
        <v>2522</v>
      </c>
      <c r="E699">
        <v>619</v>
      </c>
      <c r="F699" s="556">
        <v>64</v>
      </c>
      <c r="G699" s="541">
        <v>102.82</v>
      </c>
      <c r="H699" s="560">
        <v>0.01</v>
      </c>
      <c r="I699" s="107">
        <v>96</v>
      </c>
      <c r="K699" s="370">
        <v>2565</v>
      </c>
      <c r="L699" s="371" t="s">
        <v>1416</v>
      </c>
      <c r="M699" s="372" t="s">
        <v>2821</v>
      </c>
      <c r="N699" s="373"/>
    </row>
    <row r="700" spans="1:14" ht="12.75">
      <c r="A700">
        <v>693</v>
      </c>
      <c r="B700" s="557" t="s">
        <v>4268</v>
      </c>
      <c r="C700" t="s">
        <v>4269</v>
      </c>
      <c r="D700" s="107" t="s">
        <v>2439</v>
      </c>
      <c r="E700">
        <v>90500</v>
      </c>
      <c r="F700" s="556">
        <v>63</v>
      </c>
      <c r="G700" s="541">
        <v>0.7</v>
      </c>
      <c r="H700" s="560">
        <v>0.01</v>
      </c>
      <c r="I700" s="107">
        <v>1</v>
      </c>
      <c r="K700" s="370">
        <v>2567</v>
      </c>
      <c r="L700" s="371" t="s">
        <v>1417</v>
      </c>
      <c r="M700" s="372" t="s">
        <v>2821</v>
      </c>
      <c r="N700" s="373"/>
    </row>
    <row r="701" spans="1:14" ht="12.75">
      <c r="A701">
        <v>694</v>
      </c>
      <c r="B701" s="557">
        <v>6584</v>
      </c>
      <c r="C701" t="s">
        <v>5036</v>
      </c>
      <c r="D701" s="107" t="s">
        <v>2522</v>
      </c>
      <c r="E701">
        <v>6304</v>
      </c>
      <c r="F701" s="556">
        <v>63</v>
      </c>
      <c r="G701" s="541">
        <v>10.04</v>
      </c>
      <c r="H701" s="560">
        <v>0.01</v>
      </c>
      <c r="I701" s="107">
        <v>3</v>
      </c>
      <c r="K701" s="370">
        <v>2568</v>
      </c>
      <c r="L701" s="371" t="s">
        <v>1418</v>
      </c>
      <c r="M701" s="372" t="s">
        <v>2819</v>
      </c>
      <c r="N701" s="373"/>
    </row>
    <row r="702" spans="1:14" ht="12.75">
      <c r="A702">
        <v>695</v>
      </c>
      <c r="B702" s="557" t="s">
        <v>4290</v>
      </c>
      <c r="C702" t="s">
        <v>5037</v>
      </c>
      <c r="D702" s="107" t="s">
        <v>2522</v>
      </c>
      <c r="E702">
        <v>42</v>
      </c>
      <c r="F702" s="556">
        <v>63</v>
      </c>
      <c r="G702" s="541">
        <v>1502.38</v>
      </c>
      <c r="H702" s="560">
        <v>0.01</v>
      </c>
      <c r="I702" s="107">
        <v>5</v>
      </c>
      <c r="K702" s="370">
        <v>2569</v>
      </c>
      <c r="L702" s="371" t="s">
        <v>1419</v>
      </c>
      <c r="M702" s="372" t="s">
        <v>2819</v>
      </c>
      <c r="N702" s="373"/>
    </row>
    <row r="703" spans="1:14" ht="12.75">
      <c r="A703">
        <v>696</v>
      </c>
      <c r="B703" s="557" t="s">
        <v>3985</v>
      </c>
      <c r="C703" t="s">
        <v>5038</v>
      </c>
      <c r="D703" s="107" t="s">
        <v>2522</v>
      </c>
      <c r="E703">
        <v>2225</v>
      </c>
      <c r="F703" s="556">
        <v>63</v>
      </c>
      <c r="G703" s="541">
        <v>28.34</v>
      </c>
      <c r="H703" s="560">
        <v>0.01</v>
      </c>
      <c r="I703" s="107">
        <v>8</v>
      </c>
      <c r="K703" s="370">
        <v>2570</v>
      </c>
      <c r="L703" s="371" t="s">
        <v>1420</v>
      </c>
      <c r="M703" s="372" t="s">
        <v>2819</v>
      </c>
      <c r="N703" s="373"/>
    </row>
    <row r="704" spans="1:14" ht="12.75">
      <c r="A704">
        <v>697</v>
      </c>
      <c r="B704" s="557">
        <v>1544</v>
      </c>
      <c r="C704" t="s">
        <v>5039</v>
      </c>
      <c r="D704" s="107" t="s">
        <v>2522</v>
      </c>
      <c r="E704">
        <v>15</v>
      </c>
      <c r="F704" s="556">
        <v>63</v>
      </c>
      <c r="G704" s="541">
        <v>4181.74</v>
      </c>
      <c r="H704" s="560">
        <v>0.01</v>
      </c>
      <c r="I704" s="107">
        <v>7</v>
      </c>
      <c r="K704" s="370">
        <v>2571</v>
      </c>
      <c r="L704" s="371" t="s">
        <v>1421</v>
      </c>
      <c r="M704" s="372" t="s">
        <v>1422</v>
      </c>
      <c r="N704" s="373"/>
    </row>
    <row r="705" spans="1:14" ht="12.75">
      <c r="A705">
        <v>698</v>
      </c>
      <c r="B705" s="557" t="s">
        <v>5040</v>
      </c>
      <c r="C705" t="s">
        <v>5041</v>
      </c>
      <c r="D705" s="107" t="s">
        <v>2439</v>
      </c>
      <c r="E705">
        <v>64</v>
      </c>
      <c r="F705" s="556">
        <v>61</v>
      </c>
      <c r="G705" s="541">
        <v>960</v>
      </c>
      <c r="H705" s="560">
        <v>0.01</v>
      </c>
      <c r="I705" s="107">
        <v>1</v>
      </c>
      <c r="K705" s="370">
        <v>2572</v>
      </c>
      <c r="L705" s="371" t="s">
        <v>1423</v>
      </c>
      <c r="M705" s="372" t="s">
        <v>2819</v>
      </c>
      <c r="N705" s="373"/>
    </row>
    <row r="706" spans="1:16" ht="12.75">
      <c r="A706">
        <v>699</v>
      </c>
      <c r="B706" s="557">
        <v>17008</v>
      </c>
      <c r="C706" t="s">
        <v>5042</v>
      </c>
      <c r="D706" s="107" t="s">
        <v>2439</v>
      </c>
      <c r="E706">
        <v>400</v>
      </c>
      <c r="F706" s="556">
        <v>61</v>
      </c>
      <c r="G706" s="541">
        <v>153</v>
      </c>
      <c r="H706" s="560">
        <v>0.01</v>
      </c>
      <c r="I706" s="107">
        <v>1</v>
      </c>
      <c r="K706" s="370">
        <v>2575</v>
      </c>
      <c r="L706" s="371" t="s">
        <v>1424</v>
      </c>
      <c r="M706" s="372" t="s">
        <v>751</v>
      </c>
      <c r="N706" s="373" t="s">
        <v>1425</v>
      </c>
      <c r="O706" s="374" t="s">
        <v>1424</v>
      </c>
      <c r="P706" s="374" t="s">
        <v>754</v>
      </c>
    </row>
    <row r="707" spans="1:16" ht="12.75">
      <c r="A707">
        <v>700</v>
      </c>
      <c r="B707" s="557">
        <v>6575</v>
      </c>
      <c r="C707" t="s">
        <v>5043</v>
      </c>
      <c r="D707" s="107" t="s">
        <v>2522</v>
      </c>
      <c r="E707">
        <v>301</v>
      </c>
      <c r="F707" s="556">
        <v>61</v>
      </c>
      <c r="G707" s="541">
        <v>202.32</v>
      </c>
      <c r="H707" s="560">
        <v>0.01</v>
      </c>
      <c r="I707" s="107">
        <v>75</v>
      </c>
      <c r="K707" s="370">
        <v>2585</v>
      </c>
      <c r="L707" s="371" t="s">
        <v>1426</v>
      </c>
      <c r="M707" s="372" t="s">
        <v>751</v>
      </c>
      <c r="N707" s="373" t="s">
        <v>1427</v>
      </c>
      <c r="O707" s="374" t="s">
        <v>1426</v>
      </c>
      <c r="P707" s="374" t="s">
        <v>754</v>
      </c>
    </row>
    <row r="708" spans="1:14" ht="12.75">
      <c r="A708">
        <v>701</v>
      </c>
      <c r="B708" s="557">
        <v>8812</v>
      </c>
      <c r="C708" t="s">
        <v>5044</v>
      </c>
      <c r="D708" s="107" t="s">
        <v>2439</v>
      </c>
      <c r="E708">
        <v>1250</v>
      </c>
      <c r="F708" s="556">
        <v>61</v>
      </c>
      <c r="G708" s="541">
        <v>48.5</v>
      </c>
      <c r="H708" s="560">
        <v>0.01</v>
      </c>
      <c r="I708" s="107">
        <v>1</v>
      </c>
      <c r="K708" s="370">
        <v>2587</v>
      </c>
      <c r="L708" s="371" t="s">
        <v>1428</v>
      </c>
      <c r="M708" s="372" t="s">
        <v>2821</v>
      </c>
      <c r="N708" s="373"/>
    </row>
    <row r="709" spans="1:16" ht="12.75">
      <c r="A709">
        <v>702</v>
      </c>
      <c r="B709" s="557">
        <v>1487</v>
      </c>
      <c r="C709" t="s">
        <v>5045</v>
      </c>
      <c r="D709" s="107" t="s">
        <v>2522</v>
      </c>
      <c r="E709">
        <v>15</v>
      </c>
      <c r="F709" s="556">
        <v>61</v>
      </c>
      <c r="G709" s="541">
        <v>4034.97</v>
      </c>
      <c r="H709" s="560">
        <v>0.01</v>
      </c>
      <c r="I709" s="107">
        <v>5</v>
      </c>
      <c r="K709" s="370">
        <v>2596</v>
      </c>
      <c r="L709" s="371" t="s">
        <v>1429</v>
      </c>
      <c r="M709" s="372" t="s">
        <v>3173</v>
      </c>
      <c r="N709" s="373" t="s">
        <v>1430</v>
      </c>
      <c r="O709" s="374" t="s">
        <v>1429</v>
      </c>
      <c r="P709" s="374" t="s">
        <v>3175</v>
      </c>
    </row>
    <row r="710" spans="1:16" ht="12.75">
      <c r="A710">
        <v>703</v>
      </c>
      <c r="B710" s="557">
        <v>1202</v>
      </c>
      <c r="C710" t="s">
        <v>5046</v>
      </c>
      <c r="D710" s="107" t="s">
        <v>2522</v>
      </c>
      <c r="E710">
        <v>34</v>
      </c>
      <c r="F710" s="556">
        <v>60</v>
      </c>
      <c r="G710" s="541">
        <v>1760.21</v>
      </c>
      <c r="H710" s="560">
        <v>0.01</v>
      </c>
      <c r="I710" s="107">
        <v>14</v>
      </c>
      <c r="K710" s="370">
        <v>2597</v>
      </c>
      <c r="L710" s="371" t="s">
        <v>1431</v>
      </c>
      <c r="M710" s="372" t="s">
        <v>3173</v>
      </c>
      <c r="N710" s="373" t="s">
        <v>1432</v>
      </c>
      <c r="O710" s="374" t="s">
        <v>1431</v>
      </c>
      <c r="P710" s="374" t="s">
        <v>3175</v>
      </c>
    </row>
    <row r="711" spans="1:16" ht="12.75">
      <c r="A711">
        <v>704</v>
      </c>
      <c r="B711" s="557">
        <v>498</v>
      </c>
      <c r="C711" t="s">
        <v>5047</v>
      </c>
      <c r="D711" s="107" t="s">
        <v>2439</v>
      </c>
      <c r="E711">
        <v>167</v>
      </c>
      <c r="F711" s="556">
        <v>60</v>
      </c>
      <c r="G711" s="541">
        <v>357.27</v>
      </c>
      <c r="H711" s="560">
        <v>0.01</v>
      </c>
      <c r="I711" s="107">
        <v>3</v>
      </c>
      <c r="K711" s="370">
        <v>2598</v>
      </c>
      <c r="L711" s="371" t="s">
        <v>1433</v>
      </c>
      <c r="M711" s="372" t="s">
        <v>3173</v>
      </c>
      <c r="N711" s="373" t="s">
        <v>1434</v>
      </c>
      <c r="O711" s="374" t="s">
        <v>1433</v>
      </c>
      <c r="P711" s="374" t="s">
        <v>3175</v>
      </c>
    </row>
    <row r="712" spans="1:16" ht="12.75">
      <c r="A712">
        <v>705</v>
      </c>
      <c r="B712" s="557">
        <v>2721</v>
      </c>
      <c r="C712" t="s">
        <v>5048</v>
      </c>
      <c r="D712" s="107" t="s">
        <v>1772</v>
      </c>
      <c r="E712" s="540">
        <v>1842</v>
      </c>
      <c r="F712" s="556">
        <v>59</v>
      </c>
      <c r="G712" s="541">
        <v>32.15</v>
      </c>
      <c r="H712" s="560">
        <v>0</v>
      </c>
      <c r="I712" s="107">
        <v>11</v>
      </c>
      <c r="K712" s="370">
        <v>2599</v>
      </c>
      <c r="L712" s="371" t="s">
        <v>1435</v>
      </c>
      <c r="M712" s="372" t="s">
        <v>3173</v>
      </c>
      <c r="N712" s="373" t="s">
        <v>1436</v>
      </c>
      <c r="O712" s="374" t="s">
        <v>1435</v>
      </c>
      <c r="P712" s="374" t="s">
        <v>3175</v>
      </c>
    </row>
    <row r="713" spans="1:16" ht="12.75">
      <c r="A713">
        <v>706</v>
      </c>
      <c r="B713" s="557" t="s">
        <v>4047</v>
      </c>
      <c r="C713" t="s">
        <v>5049</v>
      </c>
      <c r="D713" s="107" t="s">
        <v>2522</v>
      </c>
      <c r="E713" s="540">
        <v>37</v>
      </c>
      <c r="F713" s="556">
        <v>59</v>
      </c>
      <c r="G713" s="541">
        <v>1593.74</v>
      </c>
      <c r="H713" s="560">
        <v>0</v>
      </c>
      <c r="I713" s="107">
        <v>7</v>
      </c>
      <c r="K713" s="370">
        <v>2601</v>
      </c>
      <c r="L713" s="371" t="s">
        <v>1437</v>
      </c>
      <c r="M713" s="372" t="s">
        <v>751</v>
      </c>
      <c r="N713" s="373" t="s">
        <v>1438</v>
      </c>
      <c r="O713" s="374" t="s">
        <v>1437</v>
      </c>
      <c r="P713" s="374" t="s">
        <v>754</v>
      </c>
    </row>
    <row r="714" spans="1:14" ht="12.75">
      <c r="A714">
        <v>707</v>
      </c>
      <c r="B714" s="557">
        <v>1890</v>
      </c>
      <c r="C714" t="s">
        <v>5050</v>
      </c>
      <c r="D714" s="107" t="s">
        <v>2439</v>
      </c>
      <c r="E714" s="540">
        <v>689</v>
      </c>
      <c r="F714" s="556">
        <v>59</v>
      </c>
      <c r="G714" s="541">
        <v>85.01</v>
      </c>
      <c r="H714" s="560">
        <v>0</v>
      </c>
      <c r="I714" s="107">
        <v>7</v>
      </c>
      <c r="K714" s="370">
        <v>2605</v>
      </c>
      <c r="L714" s="371" t="s">
        <v>1439</v>
      </c>
      <c r="M714" s="372" t="s">
        <v>2821</v>
      </c>
      <c r="N714" s="373"/>
    </row>
    <row r="715" spans="1:14" ht="12.75">
      <c r="A715">
        <v>708</v>
      </c>
      <c r="B715" s="557" t="s">
        <v>3997</v>
      </c>
      <c r="C715" t="s">
        <v>3486</v>
      </c>
      <c r="D715" s="107" t="s">
        <v>2439</v>
      </c>
      <c r="E715" s="540">
        <v>133257</v>
      </c>
      <c r="F715" s="556">
        <v>59</v>
      </c>
      <c r="G715" s="541">
        <v>0.44</v>
      </c>
      <c r="H715" s="560">
        <v>0</v>
      </c>
      <c r="I715" s="107">
        <v>6</v>
      </c>
      <c r="K715" s="370">
        <v>2606</v>
      </c>
      <c r="L715" s="371" t="s">
        <v>1440</v>
      </c>
      <c r="M715" s="372" t="s">
        <v>2821</v>
      </c>
      <c r="N715" s="373"/>
    </row>
    <row r="716" spans="1:16" ht="12.75">
      <c r="A716">
        <v>709</v>
      </c>
      <c r="B716" s="557">
        <v>2706</v>
      </c>
      <c r="C716" t="s">
        <v>5051</v>
      </c>
      <c r="D716" s="107" t="s">
        <v>2522</v>
      </c>
      <c r="E716" s="540">
        <v>2800</v>
      </c>
      <c r="F716" s="556">
        <v>58</v>
      </c>
      <c r="G716" s="541">
        <v>20.74</v>
      </c>
      <c r="H716" s="560">
        <v>0</v>
      </c>
      <c r="I716" s="107">
        <v>74</v>
      </c>
      <c r="K716" s="370">
        <v>2610</v>
      </c>
      <c r="L716" s="371" t="s">
        <v>1441</v>
      </c>
      <c r="M716" s="372" t="s">
        <v>3195</v>
      </c>
      <c r="N716" s="373" t="s">
        <v>1442</v>
      </c>
      <c r="O716" s="374" t="s">
        <v>1441</v>
      </c>
      <c r="P716" s="374" t="s">
        <v>3197</v>
      </c>
    </row>
    <row r="717" spans="1:16" ht="12.75">
      <c r="A717">
        <v>710</v>
      </c>
      <c r="B717" s="557">
        <v>1958</v>
      </c>
      <c r="C717" t="s">
        <v>5052</v>
      </c>
      <c r="D717" s="107" t="s">
        <v>2439</v>
      </c>
      <c r="E717" s="540">
        <v>157</v>
      </c>
      <c r="F717" s="556">
        <v>58</v>
      </c>
      <c r="G717" s="541">
        <v>368.32</v>
      </c>
      <c r="H717" s="560">
        <v>0</v>
      </c>
      <c r="I717" s="107">
        <v>1</v>
      </c>
      <c r="K717" s="370">
        <v>2611</v>
      </c>
      <c r="L717" s="371" t="s">
        <v>1443</v>
      </c>
      <c r="M717" s="372" t="s">
        <v>751</v>
      </c>
      <c r="N717" s="373" t="s">
        <v>1444</v>
      </c>
      <c r="O717" s="374" t="s">
        <v>1443</v>
      </c>
      <c r="P717" s="374" t="s">
        <v>754</v>
      </c>
    </row>
    <row r="718" spans="1:16" ht="12.75">
      <c r="A718">
        <v>711</v>
      </c>
      <c r="B718" s="557">
        <v>2711</v>
      </c>
      <c r="C718" t="s">
        <v>5053</v>
      </c>
      <c r="D718" s="107" t="s">
        <v>1773</v>
      </c>
      <c r="E718" s="540">
        <v>12335</v>
      </c>
      <c r="F718" s="556">
        <v>57</v>
      </c>
      <c r="G718" s="541">
        <v>4.65</v>
      </c>
      <c r="H718" s="560">
        <v>0</v>
      </c>
      <c r="I718" s="107">
        <v>1</v>
      </c>
      <c r="K718" s="370">
        <v>2612</v>
      </c>
      <c r="L718" s="371" t="s">
        <v>1445</v>
      </c>
      <c r="M718" s="372" t="s">
        <v>751</v>
      </c>
      <c r="N718" s="373" t="s">
        <v>1446</v>
      </c>
      <c r="O718" s="374" t="s">
        <v>1445</v>
      </c>
      <c r="P718" s="374" t="s">
        <v>754</v>
      </c>
    </row>
    <row r="719" spans="1:16" ht="12.75">
      <c r="A719">
        <v>712</v>
      </c>
      <c r="B719" s="557">
        <v>1585</v>
      </c>
      <c r="C719" t="s">
        <v>5054</v>
      </c>
      <c r="D719" s="107" t="s">
        <v>2522</v>
      </c>
      <c r="E719" s="540">
        <v>54</v>
      </c>
      <c r="F719" s="556">
        <v>57</v>
      </c>
      <c r="G719" s="541">
        <v>1061.14</v>
      </c>
      <c r="H719" s="560">
        <v>0</v>
      </c>
      <c r="I719" s="107">
        <v>9</v>
      </c>
      <c r="K719" s="370">
        <v>2613</v>
      </c>
      <c r="L719" s="371" t="s">
        <v>1447</v>
      </c>
      <c r="M719" s="372" t="s">
        <v>751</v>
      </c>
      <c r="N719" s="373" t="s">
        <v>1448</v>
      </c>
      <c r="O719" s="374" t="s">
        <v>1447</v>
      </c>
      <c r="P719" s="374" t="s">
        <v>754</v>
      </c>
    </row>
    <row r="720" spans="1:16" ht="12.75">
      <c r="A720">
        <v>713</v>
      </c>
      <c r="B720" s="557">
        <v>14098</v>
      </c>
      <c r="C720" t="s">
        <v>5055</v>
      </c>
      <c r="D720" s="107" t="s">
        <v>2522</v>
      </c>
      <c r="E720">
        <v>6</v>
      </c>
      <c r="F720" s="556">
        <v>57</v>
      </c>
      <c r="G720" s="541">
        <v>9545.36</v>
      </c>
      <c r="H720" s="560">
        <v>0</v>
      </c>
      <c r="I720" s="107">
        <v>1</v>
      </c>
      <c r="K720" s="370">
        <v>2614</v>
      </c>
      <c r="L720" s="371" t="s">
        <v>1449</v>
      </c>
      <c r="M720" s="372" t="s">
        <v>751</v>
      </c>
      <c r="N720" s="373" t="s">
        <v>1450</v>
      </c>
      <c r="O720" s="374" t="s">
        <v>1449</v>
      </c>
      <c r="P720" s="374" t="s">
        <v>754</v>
      </c>
    </row>
    <row r="721" spans="1:16" ht="12.75">
      <c r="A721">
        <v>714</v>
      </c>
      <c r="B721" s="557">
        <v>6547</v>
      </c>
      <c r="C721" t="s">
        <v>5056</v>
      </c>
      <c r="D721" s="107" t="s">
        <v>2439</v>
      </c>
      <c r="E721" s="540">
        <v>13352</v>
      </c>
      <c r="F721" s="556">
        <v>57</v>
      </c>
      <c r="G721" s="541">
        <v>4.29</v>
      </c>
      <c r="H721" s="560">
        <v>0</v>
      </c>
      <c r="I721" s="107">
        <v>26</v>
      </c>
      <c r="K721" s="370">
        <v>2615</v>
      </c>
      <c r="L721" s="371" t="s">
        <v>1451</v>
      </c>
      <c r="M721" s="372" t="s">
        <v>751</v>
      </c>
      <c r="N721" s="373" t="s">
        <v>1452</v>
      </c>
      <c r="O721" s="374" t="s">
        <v>1451</v>
      </c>
      <c r="P721" s="374" t="s">
        <v>754</v>
      </c>
    </row>
    <row r="722" spans="1:16" ht="12.75">
      <c r="A722">
        <v>715</v>
      </c>
      <c r="B722" s="557" t="s">
        <v>4104</v>
      </c>
      <c r="C722" t="s">
        <v>5057</v>
      </c>
      <c r="D722" s="107" t="s">
        <v>2522</v>
      </c>
      <c r="E722" s="540">
        <v>24</v>
      </c>
      <c r="F722" s="556">
        <v>57</v>
      </c>
      <c r="G722" s="541">
        <v>2375.37</v>
      </c>
      <c r="H722" s="560">
        <v>0</v>
      </c>
      <c r="I722" s="107">
        <v>7</v>
      </c>
      <c r="K722" s="370">
        <v>2616</v>
      </c>
      <c r="L722" s="371" t="s">
        <v>1453</v>
      </c>
      <c r="M722" s="372" t="s">
        <v>751</v>
      </c>
      <c r="N722" s="373" t="s">
        <v>1454</v>
      </c>
      <c r="O722" s="374" t="s">
        <v>1453</v>
      </c>
      <c r="P722" s="374" t="s">
        <v>754</v>
      </c>
    </row>
    <row r="723" spans="1:14" ht="12.75">
      <c r="A723">
        <v>716</v>
      </c>
      <c r="B723" s="557" t="s">
        <v>4267</v>
      </c>
      <c r="C723" t="s">
        <v>5058</v>
      </c>
      <c r="D723" s="107" t="s">
        <v>2439</v>
      </c>
      <c r="E723" s="540">
        <v>24</v>
      </c>
      <c r="F723" s="556">
        <v>56</v>
      </c>
      <c r="G723" s="541">
        <v>2350</v>
      </c>
      <c r="H723" s="560">
        <v>0</v>
      </c>
      <c r="I723" s="107">
        <v>1</v>
      </c>
      <c r="K723" s="370">
        <v>2617</v>
      </c>
      <c r="L723" s="371" t="s">
        <v>1455</v>
      </c>
      <c r="M723" s="372" t="s">
        <v>2821</v>
      </c>
      <c r="N723" s="373"/>
    </row>
    <row r="724" spans="1:14" ht="12.75">
      <c r="A724">
        <v>717</v>
      </c>
      <c r="B724" s="557">
        <v>17003</v>
      </c>
      <c r="C724" t="s">
        <v>5059</v>
      </c>
      <c r="D724" s="107" t="s">
        <v>2439</v>
      </c>
      <c r="E724" s="540">
        <v>575</v>
      </c>
      <c r="F724" s="556">
        <v>56</v>
      </c>
      <c r="G724" s="541">
        <v>98</v>
      </c>
      <c r="H724" s="560">
        <v>0</v>
      </c>
      <c r="I724" s="107">
        <v>1</v>
      </c>
      <c r="K724" s="370">
        <v>2618</v>
      </c>
      <c r="L724" s="371" t="s">
        <v>1456</v>
      </c>
      <c r="M724" s="372" t="s">
        <v>2821</v>
      </c>
      <c r="N724" s="373"/>
    </row>
    <row r="725" spans="1:16" ht="12.75">
      <c r="A725">
        <v>718</v>
      </c>
      <c r="B725" s="557" t="s">
        <v>4110</v>
      </c>
      <c r="C725" t="s">
        <v>5060</v>
      </c>
      <c r="D725" s="107" t="s">
        <v>2522</v>
      </c>
      <c r="E725" s="540">
        <v>9</v>
      </c>
      <c r="F725" s="556">
        <v>56</v>
      </c>
      <c r="G725" s="541">
        <v>6233.33</v>
      </c>
      <c r="H725" s="560">
        <v>0</v>
      </c>
      <c r="I725" s="107">
        <v>1</v>
      </c>
      <c r="K725" s="370">
        <v>2619</v>
      </c>
      <c r="L725" s="371" t="s">
        <v>1457</v>
      </c>
      <c r="M725" s="372" t="s">
        <v>751</v>
      </c>
      <c r="N725" s="373" t="s">
        <v>1458</v>
      </c>
      <c r="O725" s="374" t="s">
        <v>1457</v>
      </c>
      <c r="P725" s="374" t="s">
        <v>754</v>
      </c>
    </row>
    <row r="726" spans="1:16" ht="12.75">
      <c r="A726">
        <v>719</v>
      </c>
      <c r="B726" s="557" t="s">
        <v>4218</v>
      </c>
      <c r="C726" t="s">
        <v>4219</v>
      </c>
      <c r="D726" s="107" t="s">
        <v>2522</v>
      </c>
      <c r="E726" s="540">
        <v>37</v>
      </c>
      <c r="F726" s="556">
        <v>55</v>
      </c>
      <c r="G726" s="541">
        <v>1497.63</v>
      </c>
      <c r="H726" s="560">
        <v>0</v>
      </c>
      <c r="I726" s="107">
        <v>12</v>
      </c>
      <c r="K726" s="370">
        <v>2620</v>
      </c>
      <c r="L726" s="371" t="s">
        <v>1459</v>
      </c>
      <c r="M726" s="372" t="s">
        <v>751</v>
      </c>
      <c r="N726" s="373" t="s">
        <v>1460</v>
      </c>
      <c r="O726" s="374" t="s">
        <v>1459</v>
      </c>
      <c r="P726" s="374" t="s">
        <v>754</v>
      </c>
    </row>
    <row r="727" spans="1:14" ht="12.75">
      <c r="A727">
        <v>720</v>
      </c>
      <c r="B727" s="557">
        <v>445</v>
      </c>
      <c r="C727" t="s">
        <v>5061</v>
      </c>
      <c r="D727" s="107" t="s">
        <v>2439</v>
      </c>
      <c r="E727" s="540">
        <v>465</v>
      </c>
      <c r="F727" s="556">
        <v>55</v>
      </c>
      <c r="G727" s="541">
        <v>117.99</v>
      </c>
      <c r="H727" s="560">
        <v>0</v>
      </c>
      <c r="I727" s="107">
        <v>4</v>
      </c>
      <c r="K727" s="370">
        <v>2622</v>
      </c>
      <c r="L727" s="371" t="s">
        <v>1461</v>
      </c>
      <c r="M727" s="372" t="s">
        <v>2821</v>
      </c>
      <c r="N727" s="373"/>
    </row>
    <row r="728" spans="1:14" ht="12.75">
      <c r="A728">
        <v>721</v>
      </c>
      <c r="B728" s="557" t="s">
        <v>4251</v>
      </c>
      <c r="C728" t="s">
        <v>5062</v>
      </c>
      <c r="D728" s="107" t="s">
        <v>3416</v>
      </c>
      <c r="E728" s="540">
        <v>2487</v>
      </c>
      <c r="F728" s="556">
        <v>55</v>
      </c>
      <c r="G728" s="541">
        <v>22</v>
      </c>
      <c r="H728" s="560">
        <v>0</v>
      </c>
      <c r="I728" s="107">
        <v>1</v>
      </c>
      <c r="K728" s="370">
        <v>2625</v>
      </c>
      <c r="L728" s="371" t="s">
        <v>1462</v>
      </c>
      <c r="M728" s="372" t="s">
        <v>2821</v>
      </c>
      <c r="N728" s="373"/>
    </row>
    <row r="729" spans="1:14" ht="12.75">
      <c r="A729">
        <v>722</v>
      </c>
      <c r="B729" s="557" t="s">
        <v>4170</v>
      </c>
      <c r="C729" t="s">
        <v>4171</v>
      </c>
      <c r="D729" s="107" t="s">
        <v>2439</v>
      </c>
      <c r="E729" s="540">
        <v>225</v>
      </c>
      <c r="F729" s="556">
        <v>55</v>
      </c>
      <c r="G729" s="541">
        <v>242.71</v>
      </c>
      <c r="H729" s="560">
        <v>0</v>
      </c>
      <c r="I729" s="107">
        <v>2</v>
      </c>
      <c r="K729" s="370">
        <v>2650</v>
      </c>
      <c r="L729" s="371" t="s">
        <v>1463</v>
      </c>
      <c r="M729" s="372" t="s">
        <v>2819</v>
      </c>
      <c r="N729" s="373"/>
    </row>
    <row r="730" spans="1:14" ht="12.75">
      <c r="A730">
        <v>723</v>
      </c>
      <c r="B730" s="557">
        <v>40139</v>
      </c>
      <c r="C730" t="s">
        <v>5063</v>
      </c>
      <c r="D730" s="107" t="s">
        <v>2522</v>
      </c>
      <c r="E730" s="540">
        <v>32</v>
      </c>
      <c r="F730" s="556">
        <v>54</v>
      </c>
      <c r="G730" s="541">
        <v>1700</v>
      </c>
      <c r="H730" s="560">
        <v>0</v>
      </c>
      <c r="I730" s="107">
        <v>1</v>
      </c>
      <c r="K730" s="370">
        <v>2651</v>
      </c>
      <c r="L730" s="371" t="s">
        <v>1464</v>
      </c>
      <c r="M730" s="372" t="s">
        <v>2819</v>
      </c>
      <c r="N730" s="373"/>
    </row>
    <row r="731" spans="1:14" ht="12.75">
      <c r="A731">
        <v>724</v>
      </c>
      <c r="B731" s="557" t="s">
        <v>5064</v>
      </c>
      <c r="C731" t="s">
        <v>5065</v>
      </c>
      <c r="D731" s="107" t="s">
        <v>2439</v>
      </c>
      <c r="E731" s="540">
        <v>100</v>
      </c>
      <c r="F731" s="556">
        <v>54</v>
      </c>
      <c r="G731" s="541">
        <v>543.18</v>
      </c>
      <c r="H731" s="560">
        <v>0</v>
      </c>
      <c r="I731" s="107">
        <v>1</v>
      </c>
      <c r="K731" s="370">
        <v>2653</v>
      </c>
      <c r="L731" s="371" t="s">
        <v>1465</v>
      </c>
      <c r="M731" s="372" t="s">
        <v>2821</v>
      </c>
      <c r="N731" s="373"/>
    </row>
    <row r="732" spans="1:14" ht="12.75">
      <c r="A732">
        <v>725</v>
      </c>
      <c r="B732" s="557">
        <v>2702</v>
      </c>
      <c r="C732" t="s">
        <v>5066</v>
      </c>
      <c r="D732" s="107" t="s">
        <v>1771</v>
      </c>
      <c r="E732" s="540">
        <v>1673</v>
      </c>
      <c r="F732" s="556">
        <v>54</v>
      </c>
      <c r="G732" s="541">
        <v>32.43</v>
      </c>
      <c r="H732" s="560">
        <v>0</v>
      </c>
      <c r="I732" s="107">
        <v>12</v>
      </c>
      <c r="K732" s="370">
        <v>2654</v>
      </c>
      <c r="L732" s="371" t="s">
        <v>1466</v>
      </c>
      <c r="M732" s="372" t="s">
        <v>2821</v>
      </c>
      <c r="N732" s="373"/>
    </row>
    <row r="733" spans="1:14" ht="12.75">
      <c r="A733">
        <v>726</v>
      </c>
      <c r="B733" s="557">
        <v>506</v>
      </c>
      <c r="C733" t="s">
        <v>5067</v>
      </c>
      <c r="D733" s="107" t="s">
        <v>2439</v>
      </c>
      <c r="E733" s="540">
        <v>50</v>
      </c>
      <c r="F733" s="556">
        <v>54</v>
      </c>
      <c r="G733" s="541">
        <v>1080</v>
      </c>
      <c r="H733" s="560">
        <v>0</v>
      </c>
      <c r="I733" s="107">
        <v>1</v>
      </c>
      <c r="K733" s="370">
        <v>2655</v>
      </c>
      <c r="L733" s="371" t="s">
        <v>1467</v>
      </c>
      <c r="M733" s="372" t="s">
        <v>2819</v>
      </c>
      <c r="N733" s="373"/>
    </row>
    <row r="734" spans="1:14" ht="12.75">
      <c r="A734">
        <v>727</v>
      </c>
      <c r="B734" s="557" t="s">
        <v>5068</v>
      </c>
      <c r="C734" t="s">
        <v>5069</v>
      </c>
      <c r="D734" s="107" t="s">
        <v>2439</v>
      </c>
      <c r="E734">
        <v>297</v>
      </c>
      <c r="F734" s="556">
        <v>54</v>
      </c>
      <c r="G734" s="541">
        <v>181.37</v>
      </c>
      <c r="H734" s="560">
        <v>0</v>
      </c>
      <c r="I734" s="107">
        <v>2</v>
      </c>
      <c r="K734" s="370">
        <v>2671</v>
      </c>
      <c r="L734" s="371" t="s">
        <v>1468</v>
      </c>
      <c r="M734" s="372" t="s">
        <v>2821</v>
      </c>
      <c r="N734" s="373"/>
    </row>
    <row r="735" spans="1:16" ht="12.75">
      <c r="A735">
        <v>728</v>
      </c>
      <c r="B735" s="557">
        <v>15087</v>
      </c>
      <c r="C735" t="s">
        <v>5070</v>
      </c>
      <c r="D735" s="107" t="s">
        <v>2522</v>
      </c>
      <c r="E735" s="540">
        <v>2</v>
      </c>
      <c r="F735" s="556">
        <v>53</v>
      </c>
      <c r="G735" s="541">
        <v>26682.5</v>
      </c>
      <c r="H735" s="560">
        <v>0</v>
      </c>
      <c r="I735" s="107">
        <v>2</v>
      </c>
      <c r="K735" s="370">
        <v>2673</v>
      </c>
      <c r="L735" s="371" t="s">
        <v>1469</v>
      </c>
      <c r="M735" s="372" t="s">
        <v>751</v>
      </c>
      <c r="N735" s="373" t="s">
        <v>1470</v>
      </c>
      <c r="O735" s="374" t="s">
        <v>1469</v>
      </c>
      <c r="P735" s="374" t="s">
        <v>754</v>
      </c>
    </row>
    <row r="736" spans="1:14" ht="12.75">
      <c r="A736">
        <v>729</v>
      </c>
      <c r="B736" s="557">
        <v>6449</v>
      </c>
      <c r="C736" t="s">
        <v>5071</v>
      </c>
      <c r="D736" s="107" t="s">
        <v>2522</v>
      </c>
      <c r="E736" s="540">
        <v>20</v>
      </c>
      <c r="F736" s="556">
        <v>53</v>
      </c>
      <c r="G736" s="541">
        <v>2663.81</v>
      </c>
      <c r="H736" s="560">
        <v>0</v>
      </c>
      <c r="I736" s="107">
        <v>1</v>
      </c>
      <c r="K736" s="370">
        <v>2676</v>
      </c>
      <c r="L736" s="371" t="s">
        <v>1471</v>
      </c>
      <c r="M736" s="372" t="s">
        <v>2819</v>
      </c>
      <c r="N736" s="373"/>
    </row>
    <row r="737" spans="1:16" ht="12.75">
      <c r="A737">
        <v>730</v>
      </c>
      <c r="B737" s="557">
        <v>6570</v>
      </c>
      <c r="C737" t="s">
        <v>5072</v>
      </c>
      <c r="D737" s="107" t="s">
        <v>3416</v>
      </c>
      <c r="E737" s="540">
        <v>15414</v>
      </c>
      <c r="F737" s="556">
        <v>53</v>
      </c>
      <c r="G737" s="541">
        <v>3.45</v>
      </c>
      <c r="H737" s="560">
        <v>0</v>
      </c>
      <c r="I737" s="107">
        <v>5</v>
      </c>
      <c r="K737" s="370">
        <v>2677</v>
      </c>
      <c r="L737" s="371" t="s">
        <v>1472</v>
      </c>
      <c r="M737" s="372" t="s">
        <v>3164</v>
      </c>
      <c r="N737" s="373" t="s">
        <v>1473</v>
      </c>
      <c r="O737" s="374" t="s">
        <v>1472</v>
      </c>
      <c r="P737" s="374" t="s">
        <v>3166</v>
      </c>
    </row>
    <row r="738" spans="1:16" ht="12.75">
      <c r="A738">
        <v>731</v>
      </c>
      <c r="B738" s="557" t="s">
        <v>4031</v>
      </c>
      <c r="C738" t="s">
        <v>5073</v>
      </c>
      <c r="D738" s="107" t="s">
        <v>2522</v>
      </c>
      <c r="E738" s="540">
        <v>170</v>
      </c>
      <c r="F738" s="556">
        <v>53</v>
      </c>
      <c r="G738" s="541">
        <v>312.17</v>
      </c>
      <c r="H738" s="560">
        <v>0</v>
      </c>
      <c r="I738" s="107">
        <v>15</v>
      </c>
      <c r="K738" s="370">
        <v>2678</v>
      </c>
      <c r="L738" s="371" t="s">
        <v>1474</v>
      </c>
      <c r="M738" s="372" t="s">
        <v>3173</v>
      </c>
      <c r="N738" s="373" t="s">
        <v>1475</v>
      </c>
      <c r="O738" s="374" t="s">
        <v>1474</v>
      </c>
      <c r="P738" s="374" t="s">
        <v>3175</v>
      </c>
    </row>
    <row r="739" spans="1:16" ht="12.75">
      <c r="A739">
        <v>732</v>
      </c>
      <c r="B739" s="557" t="s">
        <v>5074</v>
      </c>
      <c r="C739" t="s">
        <v>5075</v>
      </c>
      <c r="D739" s="107" t="s">
        <v>2441</v>
      </c>
      <c r="E739" s="540">
        <v>1</v>
      </c>
      <c r="F739" s="556">
        <v>53</v>
      </c>
      <c r="G739" s="541">
        <v>52850.89</v>
      </c>
      <c r="H739" s="560">
        <v>0</v>
      </c>
      <c r="I739" s="107">
        <v>1</v>
      </c>
      <c r="K739" s="370">
        <v>2679</v>
      </c>
      <c r="L739" s="371" t="s">
        <v>1476</v>
      </c>
      <c r="M739" s="372" t="s">
        <v>751</v>
      </c>
      <c r="N739" s="373" t="s">
        <v>1477</v>
      </c>
      <c r="O739" s="374" t="s">
        <v>1476</v>
      </c>
      <c r="P739" s="374" t="s">
        <v>754</v>
      </c>
    </row>
    <row r="740" spans="1:16" ht="12.75">
      <c r="A740">
        <v>733</v>
      </c>
      <c r="B740" s="557">
        <v>1222</v>
      </c>
      <c r="C740" t="s">
        <v>5076</v>
      </c>
      <c r="D740" s="107" t="s">
        <v>2522</v>
      </c>
      <c r="E740" s="540">
        <v>4</v>
      </c>
      <c r="F740" s="556">
        <v>53</v>
      </c>
      <c r="G740" s="541">
        <v>13197.6</v>
      </c>
      <c r="H740" s="560">
        <v>0</v>
      </c>
      <c r="I740" s="107">
        <v>2</v>
      </c>
      <c r="K740" s="370">
        <v>2690</v>
      </c>
      <c r="L740" s="371" t="s">
        <v>1478</v>
      </c>
      <c r="M740" s="372" t="s">
        <v>3195</v>
      </c>
      <c r="N740" s="373" t="s">
        <v>1479</v>
      </c>
      <c r="O740" s="374" t="s">
        <v>1478</v>
      </c>
      <c r="P740" s="374" t="s">
        <v>3197</v>
      </c>
    </row>
    <row r="741" spans="1:14" ht="12.75">
      <c r="A741">
        <v>734</v>
      </c>
      <c r="B741" s="557" t="s">
        <v>4253</v>
      </c>
      <c r="C741" t="s">
        <v>5077</v>
      </c>
      <c r="D741" s="107" t="s">
        <v>2439</v>
      </c>
      <c r="E741" s="540">
        <v>58</v>
      </c>
      <c r="F741" s="556">
        <v>53</v>
      </c>
      <c r="G741" s="541">
        <v>910</v>
      </c>
      <c r="H741" s="560">
        <v>0</v>
      </c>
      <c r="I741" s="107">
        <v>1</v>
      </c>
      <c r="K741" s="370">
        <v>2692</v>
      </c>
      <c r="L741" s="371" t="s">
        <v>1480</v>
      </c>
      <c r="M741" s="372" t="s">
        <v>2821</v>
      </c>
      <c r="N741" s="373"/>
    </row>
    <row r="742" spans="1:16" ht="12.75">
      <c r="A742">
        <v>735</v>
      </c>
      <c r="B742" s="557" t="s">
        <v>4191</v>
      </c>
      <c r="C742" t="s">
        <v>5078</v>
      </c>
      <c r="D742" s="107" t="s">
        <v>2439</v>
      </c>
      <c r="E742" s="540">
        <v>14476</v>
      </c>
      <c r="F742" s="556">
        <v>53</v>
      </c>
      <c r="G742" s="541">
        <v>3.63</v>
      </c>
      <c r="H742" s="560">
        <v>0</v>
      </c>
      <c r="I742" s="107">
        <v>10</v>
      </c>
      <c r="K742" s="370">
        <v>2693</v>
      </c>
      <c r="L742" s="371" t="s">
        <v>1481</v>
      </c>
      <c r="M742" s="372" t="s">
        <v>751</v>
      </c>
      <c r="N742" s="373" t="s">
        <v>1482</v>
      </c>
      <c r="O742" s="374" t="s">
        <v>1481</v>
      </c>
      <c r="P742" s="374" t="s">
        <v>754</v>
      </c>
    </row>
    <row r="743" spans="1:16" ht="12.75">
      <c r="A743">
        <v>736</v>
      </c>
      <c r="B743" s="557" t="s">
        <v>5079</v>
      </c>
      <c r="C743" t="s">
        <v>5080</v>
      </c>
      <c r="D743" s="107" t="s">
        <v>1772</v>
      </c>
      <c r="E743" s="540">
        <v>437</v>
      </c>
      <c r="F743" s="556">
        <v>52</v>
      </c>
      <c r="G743" s="541">
        <v>120</v>
      </c>
      <c r="H743" s="560">
        <v>0</v>
      </c>
      <c r="I743" s="107">
        <v>1</v>
      </c>
      <c r="K743" s="370">
        <v>2694</v>
      </c>
      <c r="L743" s="371" t="s">
        <v>1483</v>
      </c>
      <c r="M743" s="372" t="s">
        <v>751</v>
      </c>
      <c r="N743" s="373" t="s">
        <v>1484</v>
      </c>
      <c r="O743" s="374" t="s">
        <v>1483</v>
      </c>
      <c r="P743" s="374" t="s">
        <v>754</v>
      </c>
    </row>
    <row r="744" spans="1:16" ht="12.75">
      <c r="A744">
        <v>737</v>
      </c>
      <c r="B744" s="557" t="s">
        <v>5081</v>
      </c>
      <c r="C744" t="s">
        <v>5082</v>
      </c>
      <c r="D744" s="107" t="s">
        <v>2439</v>
      </c>
      <c r="E744" s="540">
        <v>237</v>
      </c>
      <c r="F744" s="556">
        <v>52</v>
      </c>
      <c r="G744" s="541">
        <v>220</v>
      </c>
      <c r="H744" s="560">
        <v>0</v>
      </c>
      <c r="I744" s="107">
        <v>1</v>
      </c>
      <c r="K744" s="370">
        <v>2695</v>
      </c>
      <c r="L744" s="371" t="s">
        <v>1485</v>
      </c>
      <c r="M744" s="372" t="s">
        <v>751</v>
      </c>
      <c r="N744" s="373" t="s">
        <v>1486</v>
      </c>
      <c r="O744" s="374" t="s">
        <v>1485</v>
      </c>
      <c r="P744" s="374" t="s">
        <v>754</v>
      </c>
    </row>
    <row r="745" spans="1:16" ht="12.75">
      <c r="A745">
        <v>738</v>
      </c>
      <c r="B745" s="557" t="s">
        <v>3214</v>
      </c>
      <c r="C745" t="s">
        <v>5083</v>
      </c>
      <c r="D745" s="107" t="s">
        <v>2522</v>
      </c>
      <c r="E745" s="540">
        <v>177</v>
      </c>
      <c r="F745" s="556">
        <v>52</v>
      </c>
      <c r="G745" s="541">
        <v>294.42</v>
      </c>
      <c r="H745" s="560">
        <v>0</v>
      </c>
      <c r="I745" s="107">
        <v>2</v>
      </c>
      <c r="K745" s="370">
        <v>2698</v>
      </c>
      <c r="L745" s="371" t="s">
        <v>1487</v>
      </c>
      <c r="M745" s="372" t="s">
        <v>3173</v>
      </c>
      <c r="N745" s="373" t="s">
        <v>1488</v>
      </c>
      <c r="O745" s="374" t="s">
        <v>1487</v>
      </c>
      <c r="P745" s="374" t="s">
        <v>3175</v>
      </c>
    </row>
    <row r="746" spans="1:16" ht="12.75">
      <c r="A746">
        <v>739</v>
      </c>
      <c r="B746" s="557">
        <v>1221</v>
      </c>
      <c r="C746" t="s">
        <v>5084</v>
      </c>
      <c r="D746" s="107" t="s">
        <v>2522</v>
      </c>
      <c r="E746">
        <v>4</v>
      </c>
      <c r="F746" s="556">
        <v>52</v>
      </c>
      <c r="G746" s="541">
        <v>13000</v>
      </c>
      <c r="H746" s="560">
        <v>0</v>
      </c>
      <c r="I746" s="107">
        <v>1</v>
      </c>
      <c r="K746" s="370">
        <v>2699</v>
      </c>
      <c r="L746" s="371" t="s">
        <v>1489</v>
      </c>
      <c r="M746" s="372" t="s">
        <v>3173</v>
      </c>
      <c r="N746" s="373" t="s">
        <v>1490</v>
      </c>
      <c r="O746" s="374" t="s">
        <v>1489</v>
      </c>
      <c r="P746" s="374" t="s">
        <v>3175</v>
      </c>
    </row>
    <row r="747" spans="1:16" ht="12.75">
      <c r="A747">
        <v>740</v>
      </c>
      <c r="B747" s="557">
        <v>1792</v>
      </c>
      <c r="C747" t="s">
        <v>5085</v>
      </c>
      <c r="D747" s="107" t="s">
        <v>2522</v>
      </c>
      <c r="E747" s="540">
        <v>49</v>
      </c>
      <c r="F747" s="556">
        <v>52</v>
      </c>
      <c r="G747" s="541">
        <v>1057.39</v>
      </c>
      <c r="H747" s="560">
        <v>0</v>
      </c>
      <c r="I747" s="107">
        <v>13</v>
      </c>
      <c r="K747" s="370">
        <v>2700</v>
      </c>
      <c r="L747" s="371" t="s">
        <v>1491</v>
      </c>
      <c r="M747" s="372" t="s">
        <v>3164</v>
      </c>
      <c r="N747" s="373" t="s">
        <v>1492</v>
      </c>
      <c r="O747" s="374" t="s">
        <v>1491</v>
      </c>
      <c r="P747" s="374" t="s">
        <v>3166</v>
      </c>
    </row>
    <row r="748" spans="1:16" ht="12.75">
      <c r="A748">
        <v>741</v>
      </c>
      <c r="B748" s="557" t="s">
        <v>4014</v>
      </c>
      <c r="C748" t="s">
        <v>5086</v>
      </c>
      <c r="D748" s="107" t="s">
        <v>2522</v>
      </c>
      <c r="E748" s="540">
        <v>82</v>
      </c>
      <c r="F748" s="556">
        <v>52</v>
      </c>
      <c r="G748" s="541">
        <v>631.34</v>
      </c>
      <c r="H748" s="560">
        <v>0</v>
      </c>
      <c r="I748" s="107">
        <v>5</v>
      </c>
      <c r="K748" s="370">
        <v>2701</v>
      </c>
      <c r="L748" s="371" t="s">
        <v>2625</v>
      </c>
      <c r="M748" s="372" t="s">
        <v>751</v>
      </c>
      <c r="N748" s="373" t="s">
        <v>2626</v>
      </c>
      <c r="O748" s="374" t="s">
        <v>2625</v>
      </c>
      <c r="P748" s="374" t="s">
        <v>754</v>
      </c>
    </row>
    <row r="749" spans="1:16" ht="12.75">
      <c r="A749">
        <v>742</v>
      </c>
      <c r="B749" s="557">
        <v>16022</v>
      </c>
      <c r="C749" t="s">
        <v>5087</v>
      </c>
      <c r="D749" s="107" t="s">
        <v>2439</v>
      </c>
      <c r="E749" s="540">
        <v>579</v>
      </c>
      <c r="F749" s="556">
        <v>52</v>
      </c>
      <c r="G749" s="541">
        <v>89.34</v>
      </c>
      <c r="H749" s="560">
        <v>0</v>
      </c>
      <c r="I749" s="107">
        <v>1</v>
      </c>
      <c r="K749" s="370">
        <v>2702</v>
      </c>
      <c r="L749" s="371" t="s">
        <v>2627</v>
      </c>
      <c r="M749" s="372" t="s">
        <v>3164</v>
      </c>
      <c r="N749" s="373" t="s">
        <v>2628</v>
      </c>
      <c r="O749" s="374" t="s">
        <v>2627</v>
      </c>
      <c r="P749" s="374" t="s">
        <v>3166</v>
      </c>
    </row>
    <row r="750" spans="1:14" ht="12.75">
      <c r="A750">
        <v>743</v>
      </c>
      <c r="B750" s="557">
        <v>8653</v>
      </c>
      <c r="C750" t="s">
        <v>5088</v>
      </c>
      <c r="D750" s="107" t="s">
        <v>2439</v>
      </c>
      <c r="E750" s="540">
        <v>120</v>
      </c>
      <c r="F750" s="556">
        <v>52</v>
      </c>
      <c r="G750" s="541">
        <v>430</v>
      </c>
      <c r="H750" s="560">
        <v>0</v>
      </c>
      <c r="I750" s="107">
        <v>1</v>
      </c>
      <c r="K750" s="370">
        <v>2703</v>
      </c>
      <c r="L750" s="371" t="s">
        <v>2629</v>
      </c>
      <c r="M750" s="372" t="s">
        <v>2821</v>
      </c>
      <c r="N750" s="373"/>
    </row>
    <row r="751" spans="1:14" ht="12.75">
      <c r="A751">
        <v>744</v>
      </c>
      <c r="B751" s="557">
        <v>1761</v>
      </c>
      <c r="C751" t="s">
        <v>5089</v>
      </c>
      <c r="D751" s="107" t="s">
        <v>2522</v>
      </c>
      <c r="E751">
        <v>10</v>
      </c>
      <c r="F751" s="556">
        <v>51</v>
      </c>
      <c r="G751" s="541">
        <v>5092.47</v>
      </c>
      <c r="H751" s="560">
        <v>0</v>
      </c>
      <c r="I751" s="107">
        <v>5</v>
      </c>
      <c r="K751" s="370">
        <v>2704</v>
      </c>
      <c r="L751" s="371" t="s">
        <v>2630</v>
      </c>
      <c r="M751" s="372" t="s">
        <v>2821</v>
      </c>
      <c r="N751" s="373"/>
    </row>
    <row r="752" spans="1:14" ht="12.75">
      <c r="A752">
        <v>745</v>
      </c>
      <c r="B752" s="557">
        <v>3385</v>
      </c>
      <c r="C752" t="s">
        <v>5090</v>
      </c>
      <c r="D752" s="107" t="s">
        <v>2439</v>
      </c>
      <c r="E752">
        <v>1279</v>
      </c>
      <c r="F752" s="556">
        <v>51</v>
      </c>
      <c r="G752" s="541">
        <v>39.71</v>
      </c>
      <c r="H752" s="560">
        <v>0</v>
      </c>
      <c r="I752" s="107">
        <v>2</v>
      </c>
      <c r="K752" s="370">
        <v>2705</v>
      </c>
      <c r="L752" s="371" t="s">
        <v>2631</v>
      </c>
      <c r="M752" s="372" t="s">
        <v>2821</v>
      </c>
      <c r="N752" s="373"/>
    </row>
    <row r="753" spans="1:14" ht="12.75">
      <c r="A753">
        <v>746</v>
      </c>
      <c r="B753" s="557" t="s">
        <v>3478</v>
      </c>
      <c r="C753" t="s">
        <v>5091</v>
      </c>
      <c r="D753" s="107" t="s">
        <v>2522</v>
      </c>
      <c r="E753" s="540">
        <v>20</v>
      </c>
      <c r="F753" s="556">
        <v>51</v>
      </c>
      <c r="G753" s="541">
        <v>2536.66</v>
      </c>
      <c r="H753" s="560">
        <v>0</v>
      </c>
      <c r="I753" s="107">
        <v>6</v>
      </c>
      <c r="K753" s="370">
        <v>2706</v>
      </c>
      <c r="L753" s="371" t="s">
        <v>2632</v>
      </c>
      <c r="M753" s="372" t="s">
        <v>2821</v>
      </c>
      <c r="N753" s="373"/>
    </row>
    <row r="754" spans="1:14" ht="12.75">
      <c r="A754">
        <v>747</v>
      </c>
      <c r="B754" s="557">
        <v>4942</v>
      </c>
      <c r="C754" t="s">
        <v>5092</v>
      </c>
      <c r="D754" s="107" t="s">
        <v>2522</v>
      </c>
      <c r="E754" s="540">
        <v>5</v>
      </c>
      <c r="F754" s="556">
        <v>50</v>
      </c>
      <c r="G754" s="541">
        <v>10040</v>
      </c>
      <c r="H754" s="560">
        <v>0</v>
      </c>
      <c r="I754" s="107">
        <v>3</v>
      </c>
      <c r="K754" s="370">
        <v>2707</v>
      </c>
      <c r="L754" s="371" t="s">
        <v>2633</v>
      </c>
      <c r="M754" s="372" t="s">
        <v>2821</v>
      </c>
      <c r="N754" s="373"/>
    </row>
    <row r="755" spans="1:14" ht="12.75">
      <c r="A755">
        <v>748</v>
      </c>
      <c r="B755" s="557">
        <v>14005</v>
      </c>
      <c r="C755" t="s">
        <v>5093</v>
      </c>
      <c r="D755" s="107" t="s">
        <v>2439</v>
      </c>
      <c r="E755" s="540">
        <v>636</v>
      </c>
      <c r="F755" s="556">
        <v>50</v>
      </c>
      <c r="G755" s="541">
        <v>78.55</v>
      </c>
      <c r="H755" s="560">
        <v>0</v>
      </c>
      <c r="I755" s="107">
        <v>4</v>
      </c>
      <c r="K755" s="370">
        <v>2708</v>
      </c>
      <c r="L755" s="371" t="s">
        <v>2634</v>
      </c>
      <c r="M755" s="372" t="s">
        <v>2821</v>
      </c>
      <c r="N755" s="373"/>
    </row>
    <row r="756" spans="1:16" ht="12.75">
      <c r="A756">
        <v>749</v>
      </c>
      <c r="B756" s="557">
        <v>296</v>
      </c>
      <c r="C756" t="s">
        <v>5094</v>
      </c>
      <c r="D756" s="107" t="s">
        <v>1771</v>
      </c>
      <c r="E756" s="540">
        <v>76</v>
      </c>
      <c r="F756" s="556">
        <v>50</v>
      </c>
      <c r="G756" s="541">
        <v>650.74</v>
      </c>
      <c r="H756" s="560">
        <v>0</v>
      </c>
      <c r="I756" s="107">
        <v>6</v>
      </c>
      <c r="K756" s="370">
        <v>2709</v>
      </c>
      <c r="L756" s="371" t="s">
        <v>2635</v>
      </c>
      <c r="M756" s="372" t="s">
        <v>751</v>
      </c>
      <c r="N756" s="373" t="s">
        <v>2636</v>
      </c>
      <c r="O756" s="374" t="s">
        <v>2635</v>
      </c>
      <c r="P756" s="374" t="s">
        <v>754</v>
      </c>
    </row>
    <row r="757" spans="1:16" ht="12.75">
      <c r="A757">
        <v>750</v>
      </c>
      <c r="B757" s="557">
        <v>3260</v>
      </c>
      <c r="C757" t="s">
        <v>5095</v>
      </c>
      <c r="D757" s="107" t="s">
        <v>2522</v>
      </c>
      <c r="E757">
        <v>50</v>
      </c>
      <c r="F757" s="556">
        <v>49</v>
      </c>
      <c r="G757" s="541">
        <v>988</v>
      </c>
      <c r="H757" s="560">
        <v>0</v>
      </c>
      <c r="I757" s="107">
        <v>5</v>
      </c>
      <c r="K757" s="370">
        <v>2710</v>
      </c>
      <c r="L757" s="371" t="s">
        <v>3250</v>
      </c>
      <c r="M757" s="372" t="s">
        <v>3173</v>
      </c>
      <c r="N757" s="373" t="s">
        <v>3251</v>
      </c>
      <c r="O757" s="374" t="s">
        <v>3250</v>
      </c>
      <c r="P757" s="374" t="s">
        <v>3175</v>
      </c>
    </row>
    <row r="758" spans="1:16" ht="12.75">
      <c r="A758">
        <v>751</v>
      </c>
      <c r="B758" s="557" t="s">
        <v>4270</v>
      </c>
      <c r="C758" t="s">
        <v>4271</v>
      </c>
      <c r="D758" s="107" t="s">
        <v>2439</v>
      </c>
      <c r="E758" s="540">
        <v>70000</v>
      </c>
      <c r="F758" s="556">
        <v>49</v>
      </c>
      <c r="G758" s="541">
        <v>0.7</v>
      </c>
      <c r="H758" s="560">
        <v>0</v>
      </c>
      <c r="I758" s="107">
        <v>1</v>
      </c>
      <c r="K758" s="370">
        <v>2711</v>
      </c>
      <c r="L758" s="371" t="s">
        <v>3252</v>
      </c>
      <c r="M758" s="372" t="s">
        <v>3195</v>
      </c>
      <c r="N758" s="373" t="s">
        <v>3253</v>
      </c>
      <c r="O758" s="374" t="s">
        <v>3252</v>
      </c>
      <c r="P758" s="374" t="s">
        <v>3197</v>
      </c>
    </row>
    <row r="759" spans="1:16" ht="12.75">
      <c r="A759">
        <v>752</v>
      </c>
      <c r="B759" s="557">
        <v>14088</v>
      </c>
      <c r="C759" t="s">
        <v>5096</v>
      </c>
      <c r="D759" s="107" t="s">
        <v>2522</v>
      </c>
      <c r="E759">
        <v>44</v>
      </c>
      <c r="F759" s="556">
        <v>49</v>
      </c>
      <c r="G759" s="541">
        <v>1108</v>
      </c>
      <c r="H759" s="560">
        <v>0</v>
      </c>
      <c r="I759" s="107">
        <v>4</v>
      </c>
      <c r="K759" s="370">
        <v>2712</v>
      </c>
      <c r="L759" s="371" t="s">
        <v>3254</v>
      </c>
      <c r="M759" s="372" t="s">
        <v>3195</v>
      </c>
      <c r="N759" s="373" t="s">
        <v>3255</v>
      </c>
      <c r="O759" s="374" t="s">
        <v>3254</v>
      </c>
      <c r="P759" s="374" t="s">
        <v>3197</v>
      </c>
    </row>
    <row r="760" spans="1:14" ht="12.75">
      <c r="A760">
        <v>753</v>
      </c>
      <c r="B760" s="557">
        <v>8095</v>
      </c>
      <c r="C760" t="s">
        <v>5097</v>
      </c>
      <c r="D760" s="107" t="s">
        <v>2522</v>
      </c>
      <c r="E760" s="540">
        <v>267</v>
      </c>
      <c r="F760" s="556">
        <v>48</v>
      </c>
      <c r="G760" s="541">
        <v>181.01</v>
      </c>
      <c r="H760" s="560">
        <v>0</v>
      </c>
      <c r="I760" s="107">
        <v>9</v>
      </c>
      <c r="K760" s="370">
        <v>2713</v>
      </c>
      <c r="L760" s="371" t="s">
        <v>3256</v>
      </c>
      <c r="M760" s="372" t="s">
        <v>2821</v>
      </c>
      <c r="N760" s="373"/>
    </row>
    <row r="761" spans="1:16" ht="12.75">
      <c r="A761">
        <v>754</v>
      </c>
      <c r="B761" s="557">
        <v>1024</v>
      </c>
      <c r="C761" t="s">
        <v>5098</v>
      </c>
      <c r="D761" s="107" t="s">
        <v>2522</v>
      </c>
      <c r="E761">
        <v>59</v>
      </c>
      <c r="F761" s="556">
        <v>48</v>
      </c>
      <c r="G761" s="541">
        <v>818.22</v>
      </c>
      <c r="H761" s="560">
        <v>0</v>
      </c>
      <c r="I761" s="107">
        <v>14</v>
      </c>
      <c r="K761" s="370">
        <v>2714</v>
      </c>
      <c r="L761" s="371" t="s">
        <v>3257</v>
      </c>
      <c r="M761" s="372" t="s">
        <v>751</v>
      </c>
      <c r="N761" s="373" t="s">
        <v>3258</v>
      </c>
      <c r="O761" s="374" t="s">
        <v>3257</v>
      </c>
      <c r="P761" s="374" t="s">
        <v>754</v>
      </c>
    </row>
    <row r="762" spans="1:16" ht="12.75">
      <c r="A762">
        <v>755</v>
      </c>
      <c r="B762" s="557">
        <v>4833</v>
      </c>
      <c r="C762" t="s">
        <v>5099</v>
      </c>
      <c r="D762" s="107" t="s">
        <v>2439</v>
      </c>
      <c r="E762">
        <v>31779</v>
      </c>
      <c r="F762" s="556">
        <v>48</v>
      </c>
      <c r="G762" s="541">
        <v>1.52</v>
      </c>
      <c r="H762" s="560">
        <v>0</v>
      </c>
      <c r="I762" s="107">
        <v>2</v>
      </c>
      <c r="K762" s="370">
        <v>2719</v>
      </c>
      <c r="L762" s="371" t="s">
        <v>3259</v>
      </c>
      <c r="M762" s="372" t="s">
        <v>3173</v>
      </c>
      <c r="N762" s="373" t="s">
        <v>3260</v>
      </c>
      <c r="O762" s="374" t="s">
        <v>3261</v>
      </c>
      <c r="P762" s="374" t="s">
        <v>3175</v>
      </c>
    </row>
    <row r="763" spans="1:16" ht="12.75">
      <c r="A763">
        <v>756</v>
      </c>
      <c r="B763" s="557">
        <v>8269</v>
      </c>
      <c r="C763" t="s">
        <v>5100</v>
      </c>
      <c r="D763" s="107" t="s">
        <v>2441</v>
      </c>
      <c r="E763" s="540">
        <v>1</v>
      </c>
      <c r="F763" s="556">
        <v>48</v>
      </c>
      <c r="G763" s="541">
        <v>48145</v>
      </c>
      <c r="H763" s="560">
        <v>0</v>
      </c>
      <c r="I763" s="107">
        <v>1</v>
      </c>
      <c r="K763" s="370">
        <v>2720</v>
      </c>
      <c r="L763" s="371" t="s">
        <v>3262</v>
      </c>
      <c r="M763" s="372" t="s">
        <v>3173</v>
      </c>
      <c r="N763" s="373" t="s">
        <v>3263</v>
      </c>
      <c r="O763" s="374" t="s">
        <v>3264</v>
      </c>
      <c r="P763" s="374" t="s">
        <v>3175</v>
      </c>
    </row>
    <row r="764" spans="1:16" ht="12.75">
      <c r="A764">
        <v>757</v>
      </c>
      <c r="B764" s="557">
        <v>4834</v>
      </c>
      <c r="C764" t="s">
        <v>5101</v>
      </c>
      <c r="D764" s="107" t="s">
        <v>2439</v>
      </c>
      <c r="E764" s="540">
        <v>25844</v>
      </c>
      <c r="F764" s="556">
        <v>48</v>
      </c>
      <c r="G764" s="541">
        <v>1.85</v>
      </c>
      <c r="H764" s="560">
        <v>0</v>
      </c>
      <c r="I764" s="107">
        <v>5</v>
      </c>
      <c r="K764" s="370">
        <v>2721</v>
      </c>
      <c r="L764" s="371" t="s">
        <v>3265</v>
      </c>
      <c r="M764" s="372" t="s">
        <v>3173</v>
      </c>
      <c r="N764" s="373" t="s">
        <v>3266</v>
      </c>
      <c r="O764" s="374" t="s">
        <v>3265</v>
      </c>
      <c r="P764" s="374" t="s">
        <v>3175</v>
      </c>
    </row>
    <row r="765" spans="1:16" ht="12.75">
      <c r="A765">
        <v>758</v>
      </c>
      <c r="B765" s="557">
        <v>2265</v>
      </c>
      <c r="C765" t="s">
        <v>5102</v>
      </c>
      <c r="D765" s="107" t="s">
        <v>2439</v>
      </c>
      <c r="E765" s="540">
        <v>12765</v>
      </c>
      <c r="F765" s="556">
        <v>48</v>
      </c>
      <c r="G765" s="541">
        <v>3.73</v>
      </c>
      <c r="H765" s="560">
        <v>0</v>
      </c>
      <c r="I765" s="107">
        <v>7</v>
      </c>
      <c r="K765" s="370">
        <v>2723</v>
      </c>
      <c r="L765" s="371" t="s">
        <v>3267</v>
      </c>
      <c r="M765" s="372" t="s">
        <v>3173</v>
      </c>
      <c r="N765" s="373" t="s">
        <v>3268</v>
      </c>
      <c r="O765" s="374" t="s">
        <v>3269</v>
      </c>
      <c r="P765" s="374" t="s">
        <v>3175</v>
      </c>
    </row>
    <row r="766" spans="1:14" ht="12.75">
      <c r="A766">
        <v>759</v>
      </c>
      <c r="B766" s="557">
        <v>520</v>
      </c>
      <c r="C766" t="s">
        <v>5103</v>
      </c>
      <c r="D766" s="107" t="s">
        <v>2439</v>
      </c>
      <c r="E766" s="540">
        <v>326</v>
      </c>
      <c r="F766" s="556">
        <v>48</v>
      </c>
      <c r="G766" s="541">
        <v>145.77</v>
      </c>
      <c r="H766" s="560">
        <v>0</v>
      </c>
      <c r="I766" s="107">
        <v>6</v>
      </c>
      <c r="K766" s="370">
        <v>2726</v>
      </c>
      <c r="L766" s="371" t="s">
        <v>3270</v>
      </c>
      <c r="M766" s="372" t="s">
        <v>2819</v>
      </c>
      <c r="N766" s="373"/>
    </row>
    <row r="767" spans="1:14" ht="12.75">
      <c r="A767">
        <v>760</v>
      </c>
      <c r="B767" s="557">
        <v>1568</v>
      </c>
      <c r="C767" t="s">
        <v>5104</v>
      </c>
      <c r="D767" s="107" t="s">
        <v>2522</v>
      </c>
      <c r="E767" s="540">
        <v>6</v>
      </c>
      <c r="F767" s="556">
        <v>47</v>
      </c>
      <c r="G767" s="541">
        <v>7850</v>
      </c>
      <c r="H767" s="560">
        <v>0</v>
      </c>
      <c r="I767" s="107">
        <v>4</v>
      </c>
      <c r="K767" s="370">
        <v>2731</v>
      </c>
      <c r="L767" s="371" t="s">
        <v>3271</v>
      </c>
      <c r="M767" s="372" t="s">
        <v>2819</v>
      </c>
      <c r="N767" s="373"/>
    </row>
    <row r="768" spans="1:16" ht="12.75">
      <c r="A768">
        <v>761</v>
      </c>
      <c r="B768" s="557" t="s">
        <v>4030</v>
      </c>
      <c r="C768" t="s">
        <v>5105</v>
      </c>
      <c r="D768" s="107" t="s">
        <v>2522</v>
      </c>
      <c r="E768">
        <v>391</v>
      </c>
      <c r="F768" s="556">
        <v>47</v>
      </c>
      <c r="G768" s="541">
        <v>120.17</v>
      </c>
      <c r="H768" s="560">
        <v>0</v>
      </c>
      <c r="I768" s="107">
        <v>42</v>
      </c>
      <c r="K768" s="370">
        <v>2735</v>
      </c>
      <c r="L768" s="371" t="s">
        <v>3272</v>
      </c>
      <c r="M768" s="372" t="s">
        <v>3173</v>
      </c>
      <c r="N768" s="373" t="s">
        <v>3273</v>
      </c>
      <c r="O768" s="374" t="s">
        <v>3272</v>
      </c>
      <c r="P768" s="374" t="s">
        <v>3175</v>
      </c>
    </row>
    <row r="769" spans="1:14" ht="12.75">
      <c r="A769">
        <v>762</v>
      </c>
      <c r="B769" s="557">
        <v>40188</v>
      </c>
      <c r="C769" t="s">
        <v>5106</v>
      </c>
      <c r="D769" s="107" t="s">
        <v>2522</v>
      </c>
      <c r="E769">
        <v>1</v>
      </c>
      <c r="F769" s="556">
        <v>47</v>
      </c>
      <c r="G769" s="541">
        <v>46720</v>
      </c>
      <c r="H769" s="560">
        <v>0</v>
      </c>
      <c r="I769" s="107">
        <v>1</v>
      </c>
      <c r="K769" s="370">
        <v>2738</v>
      </c>
      <c r="L769" s="371" t="s">
        <v>3274</v>
      </c>
      <c r="M769" s="372" t="s">
        <v>2821</v>
      </c>
      <c r="N769" s="373"/>
    </row>
    <row r="770" spans="1:14" ht="12.75">
      <c r="A770">
        <v>763</v>
      </c>
      <c r="B770" s="557">
        <v>2708</v>
      </c>
      <c r="C770" t="s">
        <v>5107</v>
      </c>
      <c r="D770" s="107" t="s">
        <v>2522</v>
      </c>
      <c r="E770" s="540">
        <v>2584</v>
      </c>
      <c r="F770" s="556">
        <v>47</v>
      </c>
      <c r="G770" s="541">
        <v>18.04</v>
      </c>
      <c r="H770" s="560">
        <v>0</v>
      </c>
      <c r="I770" s="107">
        <v>78</v>
      </c>
      <c r="K770" s="370">
        <v>2740</v>
      </c>
      <c r="L770" s="371" t="s">
        <v>3275</v>
      </c>
      <c r="M770" s="372" t="s">
        <v>2821</v>
      </c>
      <c r="N770" s="373"/>
    </row>
    <row r="771" spans="1:14" ht="12.75">
      <c r="A771">
        <v>764</v>
      </c>
      <c r="B771" s="557">
        <v>2165</v>
      </c>
      <c r="C771" t="s">
        <v>5108</v>
      </c>
      <c r="D771" s="107" t="s">
        <v>1772</v>
      </c>
      <c r="E771" s="540">
        <v>8925</v>
      </c>
      <c r="F771" s="556">
        <v>47</v>
      </c>
      <c r="G771" s="541">
        <v>5.21</v>
      </c>
      <c r="H771" s="560">
        <v>0</v>
      </c>
      <c r="I771" s="107">
        <v>8</v>
      </c>
      <c r="K771" s="370">
        <v>2742</v>
      </c>
      <c r="L771" s="371" t="s">
        <v>3276</v>
      </c>
      <c r="M771" s="372" t="s">
        <v>3277</v>
      </c>
      <c r="N771" s="373"/>
    </row>
    <row r="772" spans="1:16" ht="12.75">
      <c r="A772">
        <v>765</v>
      </c>
      <c r="B772" s="557" t="s">
        <v>3489</v>
      </c>
      <c r="C772" t="s">
        <v>3490</v>
      </c>
      <c r="D772" s="107" t="s">
        <v>2441</v>
      </c>
      <c r="E772">
        <v>2</v>
      </c>
      <c r="F772" s="556">
        <v>46</v>
      </c>
      <c r="G772" s="541">
        <v>23139.8</v>
      </c>
      <c r="H772" s="560">
        <v>0</v>
      </c>
      <c r="I772" s="107">
        <v>2</v>
      </c>
      <c r="K772" s="370">
        <v>2753</v>
      </c>
      <c r="L772" s="371" t="s">
        <v>3278</v>
      </c>
      <c r="M772" s="372" t="s">
        <v>3195</v>
      </c>
      <c r="N772" s="373" t="s">
        <v>3279</v>
      </c>
      <c r="O772" s="374" t="s">
        <v>3278</v>
      </c>
      <c r="P772" s="374" t="s">
        <v>3197</v>
      </c>
    </row>
    <row r="773" spans="1:16" ht="12.75">
      <c r="A773">
        <v>766</v>
      </c>
      <c r="B773" s="557">
        <v>14060</v>
      </c>
      <c r="C773" t="s">
        <v>5109</v>
      </c>
      <c r="D773" s="107" t="s">
        <v>2439</v>
      </c>
      <c r="E773">
        <v>391</v>
      </c>
      <c r="F773" s="556">
        <v>46</v>
      </c>
      <c r="G773" s="541">
        <v>118.25</v>
      </c>
      <c r="H773" s="560">
        <v>0</v>
      </c>
      <c r="I773" s="107">
        <v>2</v>
      </c>
      <c r="K773" s="370">
        <v>2774</v>
      </c>
      <c r="L773" s="371" t="s">
        <v>2148</v>
      </c>
      <c r="M773" s="372" t="s">
        <v>751</v>
      </c>
      <c r="N773" s="373" t="s">
        <v>2149</v>
      </c>
      <c r="O773" s="374" t="s">
        <v>2148</v>
      </c>
      <c r="P773" s="374" t="s">
        <v>754</v>
      </c>
    </row>
    <row r="774" spans="1:14" ht="12.75">
      <c r="A774">
        <v>767</v>
      </c>
      <c r="B774" s="557">
        <v>6598</v>
      </c>
      <c r="C774" t="s">
        <v>5110</v>
      </c>
      <c r="D774" s="107" t="s">
        <v>3416</v>
      </c>
      <c r="E774" s="540">
        <v>7243</v>
      </c>
      <c r="F774" s="556">
        <v>46</v>
      </c>
      <c r="G774" s="541">
        <v>6.36</v>
      </c>
      <c r="H774" s="560">
        <v>0</v>
      </c>
      <c r="I774" s="107">
        <v>10</v>
      </c>
      <c r="K774" s="370">
        <v>2775</v>
      </c>
      <c r="L774" s="371" t="s">
        <v>2150</v>
      </c>
      <c r="M774" s="372" t="s">
        <v>2821</v>
      </c>
      <c r="N774" s="373"/>
    </row>
    <row r="775" spans="1:14" ht="12.75">
      <c r="A775">
        <v>768</v>
      </c>
      <c r="B775" s="557">
        <v>1985</v>
      </c>
      <c r="C775" t="s">
        <v>5111</v>
      </c>
      <c r="D775" s="107" t="s">
        <v>2522</v>
      </c>
      <c r="E775" s="540">
        <v>3696</v>
      </c>
      <c r="F775" s="556">
        <v>46</v>
      </c>
      <c r="G775" s="541">
        <v>12.4</v>
      </c>
      <c r="H775" s="560">
        <v>0</v>
      </c>
      <c r="I775" s="107">
        <v>12</v>
      </c>
      <c r="K775" s="370">
        <v>2782</v>
      </c>
      <c r="L775" s="371" t="s">
        <v>2151</v>
      </c>
      <c r="M775" s="372" t="s">
        <v>2821</v>
      </c>
      <c r="N775" s="373"/>
    </row>
    <row r="776" spans="1:14" ht="12.75">
      <c r="A776">
        <v>769</v>
      </c>
      <c r="B776" s="557">
        <v>1459</v>
      </c>
      <c r="C776" t="s">
        <v>5112</v>
      </c>
      <c r="D776" s="107" t="s">
        <v>2522</v>
      </c>
      <c r="E776">
        <v>6</v>
      </c>
      <c r="F776" s="556">
        <v>46</v>
      </c>
      <c r="G776" s="541">
        <v>7627.72</v>
      </c>
      <c r="H776" s="560">
        <v>0</v>
      </c>
      <c r="I776" s="107">
        <v>3</v>
      </c>
      <c r="K776" s="370">
        <v>2800</v>
      </c>
      <c r="L776" s="371" t="s">
        <v>2152</v>
      </c>
      <c r="M776" s="372" t="s">
        <v>2819</v>
      </c>
      <c r="N776" s="373"/>
    </row>
    <row r="777" spans="1:14" ht="12.75">
      <c r="A777">
        <v>770</v>
      </c>
      <c r="B777" s="557">
        <v>1425</v>
      </c>
      <c r="C777" t="s">
        <v>5113</v>
      </c>
      <c r="D777" s="107" t="s">
        <v>2522</v>
      </c>
      <c r="E777">
        <v>2</v>
      </c>
      <c r="F777" s="556">
        <v>46</v>
      </c>
      <c r="G777" s="541">
        <v>22750</v>
      </c>
      <c r="H777" s="560">
        <v>0</v>
      </c>
      <c r="I777" s="107">
        <v>1</v>
      </c>
      <c r="K777" s="370">
        <v>2816</v>
      </c>
      <c r="L777" s="371" t="s">
        <v>2153</v>
      </c>
      <c r="M777" s="372" t="s">
        <v>2821</v>
      </c>
      <c r="N777" s="373"/>
    </row>
    <row r="778" spans="1:14" ht="12.75">
      <c r="A778">
        <v>771</v>
      </c>
      <c r="B778" s="557">
        <v>8050</v>
      </c>
      <c r="C778" t="s">
        <v>5114</v>
      </c>
      <c r="D778" s="107" t="s">
        <v>2439</v>
      </c>
      <c r="E778" s="540">
        <v>425</v>
      </c>
      <c r="F778" s="556">
        <v>45</v>
      </c>
      <c r="G778" s="541">
        <v>107</v>
      </c>
      <c r="H778" s="560">
        <v>0</v>
      </c>
      <c r="I778" s="107">
        <v>1</v>
      </c>
      <c r="K778" s="370">
        <v>2817</v>
      </c>
      <c r="L778" s="371" t="s">
        <v>2154</v>
      </c>
      <c r="M778" s="372" t="s">
        <v>2821</v>
      </c>
      <c r="N778" s="373"/>
    </row>
    <row r="779" spans="1:14" ht="12.75">
      <c r="A779">
        <v>772</v>
      </c>
      <c r="B779" s="557">
        <v>1729</v>
      </c>
      <c r="C779" t="s">
        <v>5115</v>
      </c>
      <c r="D779" s="107" t="s">
        <v>2522</v>
      </c>
      <c r="E779">
        <v>6</v>
      </c>
      <c r="F779" s="556">
        <v>45</v>
      </c>
      <c r="G779" s="541">
        <v>7500</v>
      </c>
      <c r="H779" s="560">
        <v>0</v>
      </c>
      <c r="I779" s="107">
        <v>4</v>
      </c>
      <c r="K779" s="370">
        <v>2819</v>
      </c>
      <c r="L779" s="371" t="s">
        <v>2155</v>
      </c>
      <c r="M779" s="372" t="s">
        <v>2821</v>
      </c>
      <c r="N779" s="373"/>
    </row>
    <row r="780" spans="1:14" ht="12.75">
      <c r="A780">
        <v>773</v>
      </c>
      <c r="B780" s="557">
        <v>14085</v>
      </c>
      <c r="C780" t="s">
        <v>5116</v>
      </c>
      <c r="D780" s="107" t="s">
        <v>2522</v>
      </c>
      <c r="E780">
        <v>25</v>
      </c>
      <c r="F780" s="556">
        <v>45</v>
      </c>
      <c r="G780" s="541">
        <v>1788</v>
      </c>
      <c r="H780" s="560">
        <v>0</v>
      </c>
      <c r="I780" s="107">
        <v>6</v>
      </c>
      <c r="K780" s="370">
        <v>2820</v>
      </c>
      <c r="L780" s="371" t="s">
        <v>2156</v>
      </c>
      <c r="M780" s="372" t="s">
        <v>2821</v>
      </c>
      <c r="N780" s="373"/>
    </row>
    <row r="781" spans="1:14" ht="12.75">
      <c r="A781">
        <v>774</v>
      </c>
      <c r="B781" s="557">
        <v>3250</v>
      </c>
      <c r="C781" t="s">
        <v>5117</v>
      </c>
      <c r="D781" s="107" t="s">
        <v>1772</v>
      </c>
      <c r="E781" s="540">
        <v>1151</v>
      </c>
      <c r="F781" s="556">
        <v>45</v>
      </c>
      <c r="G781" s="541">
        <v>38.79</v>
      </c>
      <c r="H781" s="560">
        <v>0</v>
      </c>
      <c r="I781" s="107">
        <v>5</v>
      </c>
      <c r="K781" s="370">
        <v>2821</v>
      </c>
      <c r="L781" s="371" t="s">
        <v>2157</v>
      </c>
      <c r="M781" s="372" t="s">
        <v>2821</v>
      </c>
      <c r="N781" s="373"/>
    </row>
    <row r="782" spans="1:14" ht="12.75">
      <c r="A782">
        <v>775</v>
      </c>
      <c r="B782" s="557" t="s">
        <v>4249</v>
      </c>
      <c r="C782" t="s">
        <v>5118</v>
      </c>
      <c r="D782" s="107" t="s">
        <v>2439</v>
      </c>
      <c r="E782">
        <v>235</v>
      </c>
      <c r="F782" s="556">
        <v>45</v>
      </c>
      <c r="G782" s="541">
        <v>190</v>
      </c>
      <c r="H782" s="560">
        <v>0</v>
      </c>
      <c r="I782" s="107">
        <v>1</v>
      </c>
      <c r="K782" s="370">
        <v>2885</v>
      </c>
      <c r="L782" s="371" t="s">
        <v>2158</v>
      </c>
      <c r="M782" s="372" t="s">
        <v>2821</v>
      </c>
      <c r="N782" s="373"/>
    </row>
    <row r="783" spans="1:14" ht="12.75">
      <c r="A783">
        <v>776</v>
      </c>
      <c r="B783" s="557">
        <v>505</v>
      </c>
      <c r="C783" t="s">
        <v>5119</v>
      </c>
      <c r="D783" s="107" t="s">
        <v>2439</v>
      </c>
      <c r="E783" s="540">
        <v>71</v>
      </c>
      <c r="F783" s="556">
        <v>44</v>
      </c>
      <c r="G783" s="541">
        <v>625</v>
      </c>
      <c r="H783" s="560">
        <v>0</v>
      </c>
      <c r="I783" s="107">
        <v>1</v>
      </c>
      <c r="K783" s="370">
        <v>2888</v>
      </c>
      <c r="L783" s="371" t="s">
        <v>2159</v>
      </c>
      <c r="M783" s="372" t="s">
        <v>2821</v>
      </c>
      <c r="N783" s="373"/>
    </row>
    <row r="784" spans="1:14" ht="12.75">
      <c r="A784">
        <v>777</v>
      </c>
      <c r="B784" s="557" t="s">
        <v>5120</v>
      </c>
      <c r="C784" t="s">
        <v>4978</v>
      </c>
      <c r="D784" s="107" t="s">
        <v>2441</v>
      </c>
      <c r="E784">
        <v>1</v>
      </c>
      <c r="F784" s="556">
        <v>44</v>
      </c>
      <c r="G784" s="541">
        <v>44000</v>
      </c>
      <c r="H784" s="560">
        <v>0</v>
      </c>
      <c r="I784" s="107">
        <v>1</v>
      </c>
      <c r="K784" s="370">
        <v>2892</v>
      </c>
      <c r="L784" s="371" t="s">
        <v>2160</v>
      </c>
      <c r="M784" s="372" t="s">
        <v>2819</v>
      </c>
      <c r="N784" s="373"/>
    </row>
    <row r="785" spans="1:14" ht="12.75">
      <c r="A785">
        <v>778</v>
      </c>
      <c r="B785" s="557" t="s">
        <v>3999</v>
      </c>
      <c r="C785" t="s">
        <v>3488</v>
      </c>
      <c r="D785" s="107" t="s">
        <v>2439</v>
      </c>
      <c r="E785" s="540">
        <v>98354</v>
      </c>
      <c r="F785" s="556">
        <v>44</v>
      </c>
      <c r="G785" s="541">
        <v>0.44</v>
      </c>
      <c r="H785" s="560">
        <v>0</v>
      </c>
      <c r="I785" s="107">
        <v>6</v>
      </c>
      <c r="K785" s="370">
        <v>2894</v>
      </c>
      <c r="L785" s="371" t="s">
        <v>2161</v>
      </c>
      <c r="M785" s="372" t="s">
        <v>2821</v>
      </c>
      <c r="N785" s="373"/>
    </row>
    <row r="786" spans="1:14" ht="12.75">
      <c r="A786">
        <v>779</v>
      </c>
      <c r="B786" s="557">
        <v>6448</v>
      </c>
      <c r="C786" t="s">
        <v>5121</v>
      </c>
      <c r="D786" s="107" t="s">
        <v>2522</v>
      </c>
      <c r="E786">
        <v>4</v>
      </c>
      <c r="F786" s="556">
        <v>44</v>
      </c>
      <c r="G786" s="541">
        <v>10896.92</v>
      </c>
      <c r="H786" s="560">
        <v>0</v>
      </c>
      <c r="I786" s="107">
        <v>2</v>
      </c>
      <c r="K786" s="370">
        <v>2898</v>
      </c>
      <c r="L786" s="371" t="s">
        <v>2162</v>
      </c>
      <c r="M786" s="372" t="s">
        <v>2821</v>
      </c>
      <c r="N786" s="373"/>
    </row>
    <row r="787" spans="1:14" ht="12.75">
      <c r="A787">
        <v>780</v>
      </c>
      <c r="B787" s="557">
        <v>6541</v>
      </c>
      <c r="C787" t="s">
        <v>5122</v>
      </c>
      <c r="D787" s="107" t="s">
        <v>2439</v>
      </c>
      <c r="E787">
        <v>46025</v>
      </c>
      <c r="F787" s="556">
        <v>43</v>
      </c>
      <c r="G787" s="541">
        <v>0.94</v>
      </c>
      <c r="H787" s="560">
        <v>0</v>
      </c>
      <c r="I787" s="107">
        <v>6</v>
      </c>
      <c r="K787" s="370">
        <v>2900</v>
      </c>
      <c r="L787" s="371" t="s">
        <v>2163</v>
      </c>
      <c r="M787" s="372" t="s">
        <v>2821</v>
      </c>
      <c r="N787" s="373"/>
    </row>
    <row r="788" spans="1:14" ht="12.75">
      <c r="A788">
        <v>781</v>
      </c>
      <c r="B788" s="557" t="s">
        <v>5123</v>
      </c>
      <c r="C788" t="s">
        <v>5124</v>
      </c>
      <c r="D788" s="107" t="s">
        <v>2439</v>
      </c>
      <c r="E788" s="540">
        <v>27</v>
      </c>
      <c r="F788" s="556">
        <v>43</v>
      </c>
      <c r="G788" s="541">
        <v>1600</v>
      </c>
      <c r="H788" s="560">
        <v>0</v>
      </c>
      <c r="I788" s="107">
        <v>1</v>
      </c>
      <c r="K788" s="370">
        <v>2920</v>
      </c>
      <c r="L788" s="371" t="s">
        <v>2164</v>
      </c>
      <c r="M788" s="372" t="s">
        <v>2821</v>
      </c>
      <c r="N788" s="373"/>
    </row>
    <row r="789" spans="1:14" ht="12.75">
      <c r="A789">
        <v>782</v>
      </c>
      <c r="B789" s="557">
        <v>8902</v>
      </c>
      <c r="C789" t="s">
        <v>5125</v>
      </c>
      <c r="D789" s="107" t="s">
        <v>2522</v>
      </c>
      <c r="E789" s="540">
        <v>1</v>
      </c>
      <c r="F789" s="556">
        <v>43</v>
      </c>
      <c r="G789" s="541">
        <v>42500</v>
      </c>
      <c r="H789" s="560">
        <v>0</v>
      </c>
      <c r="I789" s="107">
        <v>1</v>
      </c>
      <c r="K789" s="370">
        <v>2923</v>
      </c>
      <c r="L789" s="371" t="s">
        <v>2165</v>
      </c>
      <c r="M789" s="372" t="s">
        <v>2821</v>
      </c>
      <c r="N789" s="373"/>
    </row>
    <row r="790" spans="1:14" ht="12.75">
      <c r="A790">
        <v>783</v>
      </c>
      <c r="B790" s="557" t="s">
        <v>4309</v>
      </c>
      <c r="C790" t="s">
        <v>5126</v>
      </c>
      <c r="D790" s="107" t="s">
        <v>4310</v>
      </c>
      <c r="E790" s="540">
        <v>1</v>
      </c>
      <c r="F790" s="556">
        <v>43</v>
      </c>
      <c r="G790" s="541">
        <v>56666.67</v>
      </c>
      <c r="H790" s="560">
        <v>0</v>
      </c>
      <c r="I790" s="107">
        <v>1</v>
      </c>
      <c r="K790" s="370">
        <v>2929</v>
      </c>
      <c r="L790" s="371" t="s">
        <v>2166</v>
      </c>
      <c r="M790" s="372" t="s">
        <v>2821</v>
      </c>
      <c r="N790" s="373"/>
    </row>
    <row r="791" spans="1:16" ht="12.75">
      <c r="A791">
        <v>784</v>
      </c>
      <c r="B791" s="557">
        <v>532</v>
      </c>
      <c r="C791" t="s">
        <v>5127</v>
      </c>
      <c r="D791" s="107" t="s">
        <v>2439</v>
      </c>
      <c r="E791" s="540">
        <v>123</v>
      </c>
      <c r="F791" s="556">
        <v>42</v>
      </c>
      <c r="G791" s="541">
        <v>345.46</v>
      </c>
      <c r="H791" s="560">
        <v>0</v>
      </c>
      <c r="I791" s="107">
        <v>1</v>
      </c>
      <c r="K791" s="370">
        <v>2998</v>
      </c>
      <c r="L791" s="371" t="s">
        <v>2167</v>
      </c>
      <c r="M791" s="372" t="s">
        <v>3173</v>
      </c>
      <c r="N791" s="373" t="s">
        <v>2168</v>
      </c>
      <c r="O791" s="374" t="s">
        <v>2167</v>
      </c>
      <c r="P791" s="374" t="s">
        <v>3175</v>
      </c>
    </row>
    <row r="792" spans="1:16" ht="12.75">
      <c r="A792">
        <v>785</v>
      </c>
      <c r="B792" s="557">
        <v>14028</v>
      </c>
      <c r="C792" t="s">
        <v>5128</v>
      </c>
      <c r="D792" s="107" t="s">
        <v>2522</v>
      </c>
      <c r="E792" s="540">
        <v>30</v>
      </c>
      <c r="F792" s="556">
        <v>42</v>
      </c>
      <c r="G792" s="541">
        <v>1413.07</v>
      </c>
      <c r="H792" s="560">
        <v>0</v>
      </c>
      <c r="I792" s="107">
        <v>3</v>
      </c>
      <c r="K792" s="370">
        <v>3010</v>
      </c>
      <c r="L792" s="371" t="s">
        <v>2169</v>
      </c>
      <c r="M792" s="372" t="s">
        <v>751</v>
      </c>
      <c r="N792" s="373" t="s">
        <v>2170</v>
      </c>
      <c r="O792" s="374" t="s">
        <v>2171</v>
      </c>
      <c r="P792" s="374" t="s">
        <v>754</v>
      </c>
    </row>
    <row r="793" spans="1:16" ht="12.75">
      <c r="A793">
        <v>786</v>
      </c>
      <c r="B793" s="557">
        <v>2714</v>
      </c>
      <c r="C793" t="s">
        <v>5129</v>
      </c>
      <c r="D793" s="107" t="s">
        <v>2439</v>
      </c>
      <c r="E793" s="540">
        <v>2224</v>
      </c>
      <c r="F793" s="556">
        <v>42</v>
      </c>
      <c r="G793" s="541">
        <v>18.95</v>
      </c>
      <c r="H793" s="560">
        <v>0</v>
      </c>
      <c r="I793" s="107">
        <v>2</v>
      </c>
      <c r="K793" s="370">
        <v>3016</v>
      </c>
      <c r="L793" s="371" t="s">
        <v>2172</v>
      </c>
      <c r="M793" s="372" t="s">
        <v>751</v>
      </c>
      <c r="N793" s="373" t="s">
        <v>2173</v>
      </c>
      <c r="O793" s="374" t="s">
        <v>2174</v>
      </c>
      <c r="P793" s="374" t="s">
        <v>754</v>
      </c>
    </row>
    <row r="794" spans="1:16" ht="12.75">
      <c r="A794">
        <v>787</v>
      </c>
      <c r="B794" s="557">
        <v>6581</v>
      </c>
      <c r="C794" t="s">
        <v>5130</v>
      </c>
      <c r="D794" s="107" t="s">
        <v>2522</v>
      </c>
      <c r="E794">
        <v>4789</v>
      </c>
      <c r="F794" s="556">
        <v>42</v>
      </c>
      <c r="G794" s="541">
        <v>8.79</v>
      </c>
      <c r="H794" s="560">
        <v>0</v>
      </c>
      <c r="I794" s="107">
        <v>6</v>
      </c>
      <c r="K794" s="370">
        <v>3017</v>
      </c>
      <c r="L794" s="371" t="s">
        <v>2175</v>
      </c>
      <c r="M794" s="372" t="s">
        <v>751</v>
      </c>
      <c r="N794" s="373" t="s">
        <v>2176</v>
      </c>
      <c r="O794" s="374" t="s">
        <v>2177</v>
      </c>
      <c r="P794" s="374" t="s">
        <v>754</v>
      </c>
    </row>
    <row r="795" spans="1:16" ht="12.75">
      <c r="A795">
        <v>788</v>
      </c>
      <c r="B795" s="557" t="s">
        <v>5131</v>
      </c>
      <c r="C795" t="s">
        <v>5069</v>
      </c>
      <c r="D795" s="107" t="s">
        <v>2522</v>
      </c>
      <c r="E795">
        <v>14</v>
      </c>
      <c r="F795" s="556">
        <v>42</v>
      </c>
      <c r="G795" s="541">
        <v>3000</v>
      </c>
      <c r="H795" s="560">
        <v>0</v>
      </c>
      <c r="I795" s="107">
        <v>1</v>
      </c>
      <c r="K795" s="370">
        <v>3018</v>
      </c>
      <c r="L795" s="371" t="s">
        <v>2178</v>
      </c>
      <c r="M795" s="372" t="s">
        <v>751</v>
      </c>
      <c r="N795" s="373" t="s">
        <v>2179</v>
      </c>
      <c r="O795" s="374" t="s">
        <v>3311</v>
      </c>
      <c r="P795" s="374" t="s">
        <v>754</v>
      </c>
    </row>
    <row r="796" spans="1:16" ht="12.75">
      <c r="A796">
        <v>789</v>
      </c>
      <c r="B796" s="557">
        <v>15023</v>
      </c>
      <c r="C796" t="s">
        <v>5132</v>
      </c>
      <c r="D796" s="107" t="s">
        <v>2439</v>
      </c>
      <c r="E796">
        <v>110</v>
      </c>
      <c r="F796" s="556">
        <v>42</v>
      </c>
      <c r="G796" s="541">
        <v>380</v>
      </c>
      <c r="H796" s="560">
        <v>0</v>
      </c>
      <c r="I796" s="107">
        <v>1</v>
      </c>
      <c r="K796" s="370">
        <v>3026</v>
      </c>
      <c r="L796" s="371" t="s">
        <v>3312</v>
      </c>
      <c r="M796" s="372" t="s">
        <v>751</v>
      </c>
      <c r="N796" s="373" t="s">
        <v>3313</v>
      </c>
      <c r="O796" s="374" t="s">
        <v>3314</v>
      </c>
      <c r="P796" s="374" t="s">
        <v>754</v>
      </c>
    </row>
    <row r="797" spans="1:16" ht="12.75">
      <c r="A797">
        <v>790</v>
      </c>
      <c r="B797" s="557" t="s">
        <v>5133</v>
      </c>
      <c r="C797" t="s">
        <v>5134</v>
      </c>
      <c r="D797" s="107" t="s">
        <v>2439</v>
      </c>
      <c r="E797" s="540">
        <v>1637</v>
      </c>
      <c r="F797" s="556">
        <v>42</v>
      </c>
      <c r="G797" s="541">
        <v>25.42</v>
      </c>
      <c r="H797" s="560">
        <v>0</v>
      </c>
      <c r="I797" s="107">
        <v>1</v>
      </c>
      <c r="K797" s="370">
        <v>3038</v>
      </c>
      <c r="L797" s="371" t="s">
        <v>3315</v>
      </c>
      <c r="M797" s="372" t="s">
        <v>751</v>
      </c>
      <c r="N797" s="373" t="s">
        <v>3316</v>
      </c>
      <c r="O797" s="374" t="s">
        <v>3317</v>
      </c>
      <c r="P797" s="374" t="s">
        <v>754</v>
      </c>
    </row>
    <row r="798" spans="1:16" ht="12.75">
      <c r="A798">
        <v>791</v>
      </c>
      <c r="B798" s="557">
        <v>4792</v>
      </c>
      <c r="C798" t="s">
        <v>5135</v>
      </c>
      <c r="D798" s="107" t="s">
        <v>2439</v>
      </c>
      <c r="E798">
        <v>3857</v>
      </c>
      <c r="F798" s="556">
        <v>42</v>
      </c>
      <c r="G798" s="541">
        <v>10.76</v>
      </c>
      <c r="H798" s="560">
        <v>0</v>
      </c>
      <c r="I798" s="107">
        <v>51</v>
      </c>
      <c r="K798" s="370">
        <v>3144</v>
      </c>
      <c r="L798" s="371" t="s">
        <v>3318</v>
      </c>
      <c r="M798" s="372" t="s">
        <v>751</v>
      </c>
      <c r="N798" s="373" t="s">
        <v>3319</v>
      </c>
      <c r="O798" s="374" t="s">
        <v>3320</v>
      </c>
      <c r="P798" s="374" t="s">
        <v>754</v>
      </c>
    </row>
    <row r="799" spans="1:16" ht="12.75">
      <c r="A799">
        <v>792</v>
      </c>
      <c r="B799" s="557">
        <v>1390</v>
      </c>
      <c r="C799" t="s">
        <v>5136</v>
      </c>
      <c r="D799" s="107" t="s">
        <v>2522</v>
      </c>
      <c r="E799" s="540">
        <v>34</v>
      </c>
      <c r="F799" s="556">
        <v>41</v>
      </c>
      <c r="G799" s="541">
        <v>1211.77</v>
      </c>
      <c r="H799" s="560">
        <v>0</v>
      </c>
      <c r="I799" s="107">
        <v>4</v>
      </c>
      <c r="K799" s="370">
        <v>3147</v>
      </c>
      <c r="L799" s="371" t="s">
        <v>3854</v>
      </c>
      <c r="M799" s="372" t="s">
        <v>751</v>
      </c>
      <c r="N799" s="373" t="s">
        <v>3855</v>
      </c>
      <c r="O799" s="374" t="s">
        <v>3856</v>
      </c>
      <c r="P799" s="374" t="s">
        <v>754</v>
      </c>
    </row>
    <row r="800" spans="1:16" ht="12.75">
      <c r="A800">
        <v>793</v>
      </c>
      <c r="B800" s="557">
        <v>1689</v>
      </c>
      <c r="C800" t="s">
        <v>5137</v>
      </c>
      <c r="D800" s="107" t="s">
        <v>2522</v>
      </c>
      <c r="E800">
        <v>8</v>
      </c>
      <c r="F800" s="556">
        <v>41</v>
      </c>
      <c r="G800" s="541">
        <v>5137.5</v>
      </c>
      <c r="H800" s="560">
        <v>0</v>
      </c>
      <c r="I800" s="107">
        <v>4</v>
      </c>
      <c r="K800" s="370">
        <v>3148</v>
      </c>
      <c r="L800" s="371" t="s">
        <v>3857</v>
      </c>
      <c r="M800" s="372" t="s">
        <v>751</v>
      </c>
      <c r="N800" s="373" t="s">
        <v>3858</v>
      </c>
      <c r="O800" s="374" t="s">
        <v>3859</v>
      </c>
      <c r="P800" s="374" t="s">
        <v>754</v>
      </c>
    </row>
    <row r="801" spans="1:16" ht="12.75">
      <c r="A801">
        <v>794</v>
      </c>
      <c r="B801" s="557" t="s">
        <v>4038</v>
      </c>
      <c r="C801" t="s">
        <v>4039</v>
      </c>
      <c r="D801" s="107" t="s">
        <v>2439</v>
      </c>
      <c r="E801" s="540">
        <v>8887</v>
      </c>
      <c r="F801" s="556">
        <v>41</v>
      </c>
      <c r="G801" s="541">
        <v>4.62</v>
      </c>
      <c r="H801" s="560">
        <v>0</v>
      </c>
      <c r="I801" s="107">
        <v>22</v>
      </c>
      <c r="K801" s="370">
        <v>3149</v>
      </c>
      <c r="L801" s="371" t="s">
        <v>3860</v>
      </c>
      <c r="M801" s="372" t="s">
        <v>751</v>
      </c>
      <c r="N801" s="373" t="s">
        <v>3861</v>
      </c>
      <c r="O801" s="374" t="s">
        <v>3862</v>
      </c>
      <c r="P801" s="374" t="s">
        <v>754</v>
      </c>
    </row>
    <row r="802" spans="1:16" ht="12.75">
      <c r="A802">
        <v>795</v>
      </c>
      <c r="B802" s="557" t="s">
        <v>4182</v>
      </c>
      <c r="C802" t="s">
        <v>1716</v>
      </c>
      <c r="D802" s="107" t="s">
        <v>2441</v>
      </c>
      <c r="E802" s="540">
        <v>1</v>
      </c>
      <c r="F802" s="556">
        <v>41</v>
      </c>
      <c r="G802" s="541">
        <v>41000</v>
      </c>
      <c r="H802" s="560">
        <v>0</v>
      </c>
      <c r="I802" s="107">
        <v>1</v>
      </c>
      <c r="K802" s="370">
        <v>3152</v>
      </c>
      <c r="L802" s="371" t="s">
        <v>3863</v>
      </c>
      <c r="M802" s="372" t="s">
        <v>751</v>
      </c>
      <c r="N802" s="373" t="s">
        <v>3864</v>
      </c>
      <c r="O802" s="374" t="s">
        <v>3865</v>
      </c>
      <c r="P802" s="374" t="s">
        <v>754</v>
      </c>
    </row>
    <row r="803" spans="1:16" ht="12.75">
      <c r="A803">
        <v>796</v>
      </c>
      <c r="B803" s="557" t="s">
        <v>5138</v>
      </c>
      <c r="C803" t="s">
        <v>5139</v>
      </c>
      <c r="D803" s="107" t="s">
        <v>2439</v>
      </c>
      <c r="E803" s="540">
        <v>321</v>
      </c>
      <c r="F803" s="556">
        <v>41</v>
      </c>
      <c r="G803" s="541">
        <v>127</v>
      </c>
      <c r="H803" s="560">
        <v>0</v>
      </c>
      <c r="I803" s="107">
        <v>1</v>
      </c>
      <c r="K803" s="370">
        <v>3153</v>
      </c>
      <c r="L803" s="371" t="s">
        <v>3866</v>
      </c>
      <c r="M803" s="372" t="s">
        <v>751</v>
      </c>
      <c r="N803" s="373" t="s">
        <v>3867</v>
      </c>
      <c r="O803" s="374" t="s">
        <v>3868</v>
      </c>
      <c r="P803" s="374" t="s">
        <v>754</v>
      </c>
    </row>
    <row r="804" spans="1:16" ht="12.75">
      <c r="A804">
        <v>797</v>
      </c>
      <c r="B804" s="557">
        <v>15129</v>
      </c>
      <c r="C804" t="s">
        <v>5140</v>
      </c>
      <c r="D804" s="107" t="s">
        <v>2439</v>
      </c>
      <c r="E804">
        <v>54</v>
      </c>
      <c r="F804" s="556">
        <v>41</v>
      </c>
      <c r="G804" s="541">
        <v>750</v>
      </c>
      <c r="H804" s="560">
        <v>0</v>
      </c>
      <c r="I804" s="107">
        <v>1</v>
      </c>
      <c r="K804" s="370">
        <v>3154</v>
      </c>
      <c r="L804" s="371" t="s">
        <v>3869</v>
      </c>
      <c r="M804" s="372" t="s">
        <v>751</v>
      </c>
      <c r="N804" s="373" t="s">
        <v>3870</v>
      </c>
      <c r="O804" s="374" t="s">
        <v>3871</v>
      </c>
      <c r="P804" s="374" t="s">
        <v>754</v>
      </c>
    </row>
    <row r="805" spans="1:16" ht="12.75">
      <c r="A805">
        <v>798</v>
      </c>
      <c r="B805" s="557">
        <v>8615</v>
      </c>
      <c r="C805" t="s">
        <v>5141</v>
      </c>
      <c r="D805" s="107" t="s">
        <v>2439</v>
      </c>
      <c r="E805">
        <v>114</v>
      </c>
      <c r="F805" s="556">
        <v>40</v>
      </c>
      <c r="G805" s="541">
        <v>355</v>
      </c>
      <c r="H805" s="560">
        <v>0</v>
      </c>
      <c r="I805" s="107">
        <v>1</v>
      </c>
      <c r="K805" s="370">
        <v>3170</v>
      </c>
      <c r="L805" s="371" t="s">
        <v>3872</v>
      </c>
      <c r="M805" s="372" t="s">
        <v>751</v>
      </c>
      <c r="N805" s="373" t="s">
        <v>3873</v>
      </c>
      <c r="O805" s="374" t="s">
        <v>2231</v>
      </c>
      <c r="P805" s="374" t="s">
        <v>754</v>
      </c>
    </row>
    <row r="806" spans="1:16" ht="12.75">
      <c r="A806">
        <v>799</v>
      </c>
      <c r="B806" s="557">
        <v>2692</v>
      </c>
      <c r="C806" t="s">
        <v>5142</v>
      </c>
      <c r="D806" s="107" t="s">
        <v>2522</v>
      </c>
      <c r="E806">
        <v>14</v>
      </c>
      <c r="F806" s="556">
        <v>40</v>
      </c>
      <c r="G806" s="541">
        <v>2871.43</v>
      </c>
      <c r="H806" s="560">
        <v>0</v>
      </c>
      <c r="I806" s="107">
        <v>3</v>
      </c>
      <c r="K806" s="370">
        <v>3171</v>
      </c>
      <c r="L806" s="371" t="s">
        <v>2232</v>
      </c>
      <c r="M806" s="372" t="s">
        <v>751</v>
      </c>
      <c r="N806" s="373" t="s">
        <v>2233</v>
      </c>
      <c r="O806" s="374" t="s">
        <v>2234</v>
      </c>
      <c r="P806" s="374" t="s">
        <v>754</v>
      </c>
    </row>
    <row r="807" spans="1:16" ht="12.75">
      <c r="A807">
        <v>800</v>
      </c>
      <c r="B807" s="557" t="s">
        <v>4254</v>
      </c>
      <c r="C807" t="s">
        <v>5143</v>
      </c>
      <c r="D807" s="107" t="s">
        <v>2522</v>
      </c>
      <c r="E807" s="540">
        <v>172</v>
      </c>
      <c r="F807" s="556">
        <v>40</v>
      </c>
      <c r="G807" s="541">
        <v>232.97</v>
      </c>
      <c r="H807" s="560">
        <v>0</v>
      </c>
      <c r="I807" s="107">
        <v>4</v>
      </c>
      <c r="K807" s="370">
        <v>3202</v>
      </c>
      <c r="L807" s="371" t="s">
        <v>2235</v>
      </c>
      <c r="M807" s="372" t="s">
        <v>751</v>
      </c>
      <c r="N807" s="373" t="s">
        <v>2236</v>
      </c>
      <c r="O807" s="374" t="s">
        <v>2237</v>
      </c>
      <c r="P807" s="374" t="s">
        <v>754</v>
      </c>
    </row>
    <row r="808" spans="1:14" ht="12.75">
      <c r="A808">
        <v>801</v>
      </c>
      <c r="B808" s="557">
        <v>3225</v>
      </c>
      <c r="C808" t="s">
        <v>5144</v>
      </c>
      <c r="D808" s="107" t="s">
        <v>2522</v>
      </c>
      <c r="E808" s="540">
        <v>782</v>
      </c>
      <c r="F808" s="556">
        <v>40</v>
      </c>
      <c r="G808" s="541">
        <v>51.16</v>
      </c>
      <c r="H808" s="560">
        <v>0</v>
      </c>
      <c r="I808" s="107">
        <v>2</v>
      </c>
      <c r="K808" s="370">
        <v>3225</v>
      </c>
      <c r="L808" s="371" t="s">
        <v>2238</v>
      </c>
      <c r="M808" s="372" t="s">
        <v>2821</v>
      </c>
      <c r="N808" s="375"/>
    </row>
    <row r="809" spans="1:14" ht="12.75">
      <c r="A809">
        <v>802</v>
      </c>
      <c r="B809" s="557">
        <v>14100</v>
      </c>
      <c r="C809" t="s">
        <v>5145</v>
      </c>
      <c r="D809" s="107" t="s">
        <v>2522</v>
      </c>
      <c r="E809" s="540">
        <v>2</v>
      </c>
      <c r="F809" s="556">
        <v>40</v>
      </c>
      <c r="G809" s="541">
        <v>20000</v>
      </c>
      <c r="H809" s="560">
        <v>0</v>
      </c>
      <c r="I809" s="107">
        <v>1</v>
      </c>
      <c r="K809" s="370">
        <v>3230</v>
      </c>
      <c r="L809" s="371" t="s">
        <v>2239</v>
      </c>
      <c r="M809" s="372" t="s">
        <v>2821</v>
      </c>
      <c r="N809" s="373"/>
    </row>
    <row r="810" spans="1:16" ht="12.75">
      <c r="A810">
        <v>803</v>
      </c>
      <c r="B810" s="557">
        <v>1314</v>
      </c>
      <c r="C810" t="s">
        <v>5146</v>
      </c>
      <c r="D810" s="107" t="s">
        <v>2522</v>
      </c>
      <c r="E810" s="540">
        <v>26</v>
      </c>
      <c r="F810" s="556">
        <v>40</v>
      </c>
      <c r="G810" s="541">
        <v>1532.69</v>
      </c>
      <c r="H810" s="560">
        <v>0</v>
      </c>
      <c r="I810" s="107">
        <v>4</v>
      </c>
      <c r="K810" s="370">
        <v>3234</v>
      </c>
      <c r="L810" s="371" t="s">
        <v>2240</v>
      </c>
      <c r="M810" s="372" t="s">
        <v>751</v>
      </c>
      <c r="N810" s="373" t="s">
        <v>2241</v>
      </c>
      <c r="O810" s="374" t="s">
        <v>2240</v>
      </c>
      <c r="P810" s="374" t="s">
        <v>754</v>
      </c>
    </row>
    <row r="811" spans="1:16" ht="12.75">
      <c r="A811">
        <v>804</v>
      </c>
      <c r="B811" s="557">
        <v>40078</v>
      </c>
      <c r="C811" t="s">
        <v>5147</v>
      </c>
      <c r="D811" s="107" t="s">
        <v>3416</v>
      </c>
      <c r="E811">
        <v>31770</v>
      </c>
      <c r="F811" s="556">
        <v>40</v>
      </c>
      <c r="G811" s="541">
        <v>1.25</v>
      </c>
      <c r="H811" s="560">
        <v>0</v>
      </c>
      <c r="I811" s="107">
        <v>1</v>
      </c>
      <c r="K811" s="370">
        <v>3235</v>
      </c>
      <c r="L811" s="371" t="s">
        <v>2242</v>
      </c>
      <c r="M811" s="372" t="s">
        <v>3195</v>
      </c>
      <c r="N811" s="373" t="s">
        <v>2243</v>
      </c>
      <c r="O811" s="374" t="s">
        <v>2242</v>
      </c>
      <c r="P811" s="374" t="s">
        <v>3197</v>
      </c>
    </row>
    <row r="812" spans="1:16" ht="12.75">
      <c r="A812">
        <v>805</v>
      </c>
      <c r="B812" s="557">
        <v>1936</v>
      </c>
      <c r="C812" t="s">
        <v>5148</v>
      </c>
      <c r="D812" s="107" t="s">
        <v>1772</v>
      </c>
      <c r="E812">
        <v>346</v>
      </c>
      <c r="F812" s="556">
        <v>40</v>
      </c>
      <c r="G812" s="541">
        <v>114.5</v>
      </c>
      <c r="H812" s="560">
        <v>0</v>
      </c>
      <c r="I812" s="107">
        <v>1</v>
      </c>
      <c r="K812" s="370">
        <v>3236</v>
      </c>
      <c r="L812" s="371" t="s">
        <v>2244</v>
      </c>
      <c r="M812" s="372" t="s">
        <v>974</v>
      </c>
      <c r="N812" s="373" t="s">
        <v>2245</v>
      </c>
      <c r="O812" s="374" t="s">
        <v>2244</v>
      </c>
      <c r="P812" s="374" t="s">
        <v>3175</v>
      </c>
    </row>
    <row r="813" spans="1:16" ht="12.75">
      <c r="A813">
        <v>806</v>
      </c>
      <c r="B813" s="557">
        <v>1393</v>
      </c>
      <c r="C813" t="s">
        <v>5149</v>
      </c>
      <c r="D813" s="107" t="s">
        <v>2522</v>
      </c>
      <c r="E813">
        <v>15</v>
      </c>
      <c r="F813" s="556">
        <v>40</v>
      </c>
      <c r="G813" s="541">
        <v>2641.13</v>
      </c>
      <c r="H813" s="560">
        <v>0</v>
      </c>
      <c r="I813" s="107">
        <v>4</v>
      </c>
      <c r="K813" s="370">
        <v>3240</v>
      </c>
      <c r="L813" s="371" t="s">
        <v>2246</v>
      </c>
      <c r="M813" s="372" t="s">
        <v>3173</v>
      </c>
      <c r="N813" s="373" t="s">
        <v>2247</v>
      </c>
      <c r="O813" s="374" t="s">
        <v>2246</v>
      </c>
      <c r="P813" s="374" t="s">
        <v>3175</v>
      </c>
    </row>
    <row r="814" spans="1:16" ht="12.75">
      <c r="A814">
        <v>807</v>
      </c>
      <c r="B814" s="557" t="s">
        <v>993</v>
      </c>
      <c r="C814" t="s">
        <v>5150</v>
      </c>
      <c r="D814" s="107" t="s">
        <v>2439</v>
      </c>
      <c r="E814">
        <v>1284</v>
      </c>
      <c r="F814" s="556">
        <v>39</v>
      </c>
      <c r="G814" s="541">
        <v>30.66</v>
      </c>
      <c r="H814" s="560">
        <v>0</v>
      </c>
      <c r="I814" s="107">
        <v>21</v>
      </c>
      <c r="K814" s="370">
        <v>3245</v>
      </c>
      <c r="L814" s="371" t="s">
        <v>2248</v>
      </c>
      <c r="M814" s="372" t="s">
        <v>751</v>
      </c>
      <c r="N814" s="373" t="s">
        <v>2249</v>
      </c>
      <c r="O814" s="374" t="s">
        <v>2248</v>
      </c>
      <c r="P814" s="374" t="s">
        <v>754</v>
      </c>
    </row>
    <row r="815" spans="1:16" ht="12.75">
      <c r="A815">
        <v>808</v>
      </c>
      <c r="B815" s="557">
        <v>14124</v>
      </c>
      <c r="C815" t="s">
        <v>5151</v>
      </c>
      <c r="D815" s="107" t="s">
        <v>2522</v>
      </c>
      <c r="E815" s="540">
        <v>1</v>
      </c>
      <c r="F815" s="556">
        <v>39</v>
      </c>
      <c r="G815" s="541">
        <v>39250</v>
      </c>
      <c r="H815" s="560">
        <v>0</v>
      </c>
      <c r="I815" s="107">
        <v>1</v>
      </c>
      <c r="K815" s="370">
        <v>3246</v>
      </c>
      <c r="L815" s="371" t="s">
        <v>2250</v>
      </c>
      <c r="M815" s="372" t="s">
        <v>751</v>
      </c>
      <c r="N815" s="373" t="s">
        <v>2251</v>
      </c>
      <c r="O815" s="374" t="s">
        <v>2252</v>
      </c>
      <c r="P815" s="374" t="s">
        <v>754</v>
      </c>
    </row>
    <row r="816" spans="1:16" ht="12.75">
      <c r="A816">
        <v>809</v>
      </c>
      <c r="B816" s="557" t="s">
        <v>4145</v>
      </c>
      <c r="C816" t="s">
        <v>5152</v>
      </c>
      <c r="D816" s="107" t="s">
        <v>1773</v>
      </c>
      <c r="E816" s="540">
        <v>350</v>
      </c>
      <c r="F816" s="556">
        <v>39</v>
      </c>
      <c r="G816" s="541">
        <v>111.68</v>
      </c>
      <c r="H816" s="560">
        <v>0</v>
      </c>
      <c r="I816" s="107">
        <v>2</v>
      </c>
      <c r="K816" s="370">
        <v>3247</v>
      </c>
      <c r="L816" s="371" t="s">
        <v>2253</v>
      </c>
      <c r="M816" s="372" t="s">
        <v>3173</v>
      </c>
      <c r="N816" s="373" t="s">
        <v>2254</v>
      </c>
      <c r="O816" s="374" t="s">
        <v>2253</v>
      </c>
      <c r="P816" s="374" t="s">
        <v>3175</v>
      </c>
    </row>
    <row r="817" spans="1:16" ht="12.75">
      <c r="A817">
        <v>810</v>
      </c>
      <c r="B817" s="557">
        <v>1690</v>
      </c>
      <c r="C817" t="s">
        <v>5153</v>
      </c>
      <c r="D817" s="107" t="s">
        <v>2522</v>
      </c>
      <c r="E817">
        <v>5</v>
      </c>
      <c r="F817" s="556">
        <v>39</v>
      </c>
      <c r="G817" s="541">
        <v>7810.34</v>
      </c>
      <c r="H817" s="560">
        <v>0</v>
      </c>
      <c r="I817" s="107">
        <v>2</v>
      </c>
      <c r="K817" s="370">
        <v>3250</v>
      </c>
      <c r="L817" s="371" t="s">
        <v>2255</v>
      </c>
      <c r="M817" s="372" t="s">
        <v>3173</v>
      </c>
      <c r="N817" s="373" t="s">
        <v>2256</v>
      </c>
      <c r="O817" s="374" t="s">
        <v>2255</v>
      </c>
      <c r="P817" s="374" t="s">
        <v>3175</v>
      </c>
    </row>
    <row r="818" spans="1:14" ht="12.75">
      <c r="A818">
        <v>811</v>
      </c>
      <c r="B818" s="557">
        <v>40178</v>
      </c>
      <c r="C818" t="s">
        <v>4343</v>
      </c>
      <c r="D818" s="107" t="s">
        <v>2441</v>
      </c>
      <c r="E818">
        <v>1</v>
      </c>
      <c r="F818" s="556">
        <v>39</v>
      </c>
      <c r="G818" s="541">
        <v>38750</v>
      </c>
      <c r="H818" s="560">
        <v>0</v>
      </c>
      <c r="I818" s="107">
        <v>1</v>
      </c>
      <c r="K818" s="370">
        <v>3260</v>
      </c>
      <c r="L818" s="371" t="s">
        <v>2257</v>
      </c>
      <c r="M818" s="372" t="s">
        <v>2821</v>
      </c>
      <c r="N818" s="373"/>
    </row>
    <row r="819" spans="1:14" ht="12.75">
      <c r="A819">
        <v>812</v>
      </c>
      <c r="B819" s="557" t="s">
        <v>5154</v>
      </c>
      <c r="C819" t="s">
        <v>5155</v>
      </c>
      <c r="D819" s="107" t="s">
        <v>2439</v>
      </c>
      <c r="E819">
        <v>119</v>
      </c>
      <c r="F819" s="556">
        <v>39</v>
      </c>
      <c r="G819" s="541">
        <v>326</v>
      </c>
      <c r="H819" s="560">
        <v>0</v>
      </c>
      <c r="I819" s="107">
        <v>1</v>
      </c>
      <c r="K819" s="370">
        <v>3261</v>
      </c>
      <c r="L819" s="371" t="s">
        <v>2258</v>
      </c>
      <c r="M819" s="372" t="s">
        <v>2821</v>
      </c>
      <c r="N819" s="373"/>
    </row>
    <row r="820" spans="1:14" ht="12.75">
      <c r="A820">
        <v>813</v>
      </c>
      <c r="B820" s="557">
        <v>6526</v>
      </c>
      <c r="C820" t="s">
        <v>5156</v>
      </c>
      <c r="D820" s="107" t="s">
        <v>3418</v>
      </c>
      <c r="E820">
        <v>14</v>
      </c>
      <c r="F820" s="556">
        <v>39</v>
      </c>
      <c r="G820" s="541">
        <v>2750</v>
      </c>
      <c r="H820" s="560">
        <v>0</v>
      </c>
      <c r="I820" s="107">
        <v>2</v>
      </c>
      <c r="K820" s="370">
        <v>3262</v>
      </c>
      <c r="L820" s="371" t="s">
        <v>2259</v>
      </c>
      <c r="M820" s="372" t="s">
        <v>2821</v>
      </c>
      <c r="N820" s="373"/>
    </row>
    <row r="821" spans="1:14" ht="12.75">
      <c r="A821">
        <v>814</v>
      </c>
      <c r="B821" s="557">
        <v>2373</v>
      </c>
      <c r="C821" t="s">
        <v>5157</v>
      </c>
      <c r="D821" s="107" t="s">
        <v>2522</v>
      </c>
      <c r="E821" s="540">
        <v>36</v>
      </c>
      <c r="F821" s="556">
        <v>38</v>
      </c>
      <c r="G821" s="541">
        <v>1067.76</v>
      </c>
      <c r="H821" s="560">
        <v>0</v>
      </c>
      <c r="I821" s="107">
        <v>9</v>
      </c>
      <c r="K821" s="370">
        <v>3265</v>
      </c>
      <c r="L821" s="371" t="s">
        <v>2260</v>
      </c>
      <c r="M821" s="372" t="s">
        <v>2261</v>
      </c>
      <c r="N821" s="373"/>
    </row>
    <row r="822" spans="1:16" ht="12.75">
      <c r="A822">
        <v>815</v>
      </c>
      <c r="B822" s="557">
        <v>14056</v>
      </c>
      <c r="C822" t="s">
        <v>5158</v>
      </c>
      <c r="D822" s="107" t="s">
        <v>2439</v>
      </c>
      <c r="E822" s="540">
        <v>680</v>
      </c>
      <c r="F822" s="556">
        <v>38</v>
      </c>
      <c r="G822" s="541">
        <v>56.24</v>
      </c>
      <c r="H822" s="560">
        <v>0</v>
      </c>
      <c r="I822" s="107">
        <v>3</v>
      </c>
      <c r="K822" s="370">
        <v>3266</v>
      </c>
      <c r="L822" s="371" t="s">
        <v>2262</v>
      </c>
      <c r="M822" s="372" t="s">
        <v>1779</v>
      </c>
      <c r="N822" s="373" t="s">
        <v>2263</v>
      </c>
      <c r="O822" s="374" t="s">
        <v>2262</v>
      </c>
      <c r="P822" s="374" t="s">
        <v>1781</v>
      </c>
    </row>
    <row r="823" spans="1:16" ht="12.75">
      <c r="A823">
        <v>816</v>
      </c>
      <c r="B823" s="557" t="s">
        <v>4283</v>
      </c>
      <c r="C823" t="s">
        <v>5159</v>
      </c>
      <c r="D823" s="107" t="s">
        <v>2439</v>
      </c>
      <c r="E823">
        <v>196</v>
      </c>
      <c r="F823" s="556">
        <v>38</v>
      </c>
      <c r="G823" s="541">
        <v>194.17</v>
      </c>
      <c r="H823" s="560">
        <v>0</v>
      </c>
      <c r="I823" s="107">
        <v>2</v>
      </c>
      <c r="K823" s="370">
        <v>3269</v>
      </c>
      <c r="L823" s="371" t="s">
        <v>2264</v>
      </c>
      <c r="M823" s="372" t="s">
        <v>751</v>
      </c>
      <c r="N823" s="373" t="s">
        <v>0</v>
      </c>
      <c r="O823" s="374" t="s">
        <v>2264</v>
      </c>
      <c r="P823" s="374" t="s">
        <v>754</v>
      </c>
    </row>
    <row r="824" spans="1:16" ht="12.75">
      <c r="A824">
        <v>817</v>
      </c>
      <c r="B824" s="557" t="s">
        <v>4277</v>
      </c>
      <c r="C824" t="s">
        <v>5160</v>
      </c>
      <c r="D824" s="107" t="s">
        <v>2439</v>
      </c>
      <c r="E824">
        <v>13400</v>
      </c>
      <c r="F824" s="556">
        <v>38</v>
      </c>
      <c r="G824" s="541">
        <v>2.84</v>
      </c>
      <c r="H824" s="560">
        <v>0</v>
      </c>
      <c r="I824" s="107">
        <v>1</v>
      </c>
      <c r="K824" s="370">
        <v>3270</v>
      </c>
      <c r="L824" s="371" t="s">
        <v>1</v>
      </c>
      <c r="M824" s="372" t="s">
        <v>751</v>
      </c>
      <c r="N824" s="373" t="s">
        <v>2</v>
      </c>
      <c r="O824" s="374" t="s">
        <v>1</v>
      </c>
      <c r="P824" s="374" t="s">
        <v>754</v>
      </c>
    </row>
    <row r="825" spans="1:16" ht="12.75">
      <c r="A825">
        <v>818</v>
      </c>
      <c r="B825" s="557">
        <v>2191</v>
      </c>
      <c r="C825" t="s">
        <v>5161</v>
      </c>
      <c r="D825" s="107" t="s">
        <v>2522</v>
      </c>
      <c r="E825">
        <v>1</v>
      </c>
      <c r="F825" s="556">
        <v>38</v>
      </c>
      <c r="G825" s="541">
        <v>37846</v>
      </c>
      <c r="H825" s="560">
        <v>0</v>
      </c>
      <c r="I825" s="107">
        <v>1</v>
      </c>
      <c r="K825" s="370">
        <v>3271</v>
      </c>
      <c r="L825" s="371" t="s">
        <v>3</v>
      </c>
      <c r="M825" s="372" t="s">
        <v>751</v>
      </c>
      <c r="N825" s="373" t="s">
        <v>4</v>
      </c>
      <c r="O825" s="374" t="s">
        <v>3</v>
      </c>
      <c r="P825" s="374" t="s">
        <v>754</v>
      </c>
    </row>
    <row r="826" spans="1:16" ht="12.75">
      <c r="A826">
        <v>819</v>
      </c>
      <c r="B826" s="557" t="s">
        <v>4161</v>
      </c>
      <c r="C826" t="s">
        <v>4162</v>
      </c>
      <c r="D826" s="107" t="s">
        <v>2439</v>
      </c>
      <c r="E826">
        <v>302</v>
      </c>
      <c r="F826" s="556">
        <v>37</v>
      </c>
      <c r="G826" s="541">
        <v>123.31</v>
      </c>
      <c r="H826" s="560">
        <v>0</v>
      </c>
      <c r="I826" s="107">
        <v>3</v>
      </c>
      <c r="K826" s="370">
        <v>3272</v>
      </c>
      <c r="L826" s="371" t="s">
        <v>5</v>
      </c>
      <c r="M826" s="372" t="s">
        <v>751</v>
      </c>
      <c r="N826" s="373" t="s">
        <v>6</v>
      </c>
      <c r="O826" s="374" t="s">
        <v>5</v>
      </c>
      <c r="P826" s="374" t="s">
        <v>754</v>
      </c>
    </row>
    <row r="827" spans="1:16" ht="12.75">
      <c r="A827">
        <v>820</v>
      </c>
      <c r="B827" s="557" t="s">
        <v>4032</v>
      </c>
      <c r="C827" t="s">
        <v>5162</v>
      </c>
      <c r="D827" s="107" t="s">
        <v>2522</v>
      </c>
      <c r="E827">
        <v>58</v>
      </c>
      <c r="F827" s="556">
        <v>37</v>
      </c>
      <c r="G827" s="541">
        <v>639.48</v>
      </c>
      <c r="H827" s="560">
        <v>0</v>
      </c>
      <c r="I827" s="107">
        <v>4</v>
      </c>
      <c r="K827" s="370">
        <v>3275</v>
      </c>
      <c r="L827" s="371" t="s">
        <v>7</v>
      </c>
      <c r="M827" s="372" t="s">
        <v>3164</v>
      </c>
      <c r="N827" s="373" t="s">
        <v>8</v>
      </c>
      <c r="O827" s="374" t="s">
        <v>7</v>
      </c>
      <c r="P827" s="374" t="s">
        <v>3166</v>
      </c>
    </row>
    <row r="828" spans="1:16" ht="12.75">
      <c r="A828">
        <v>821</v>
      </c>
      <c r="B828" s="557">
        <v>1391</v>
      </c>
      <c r="C828" t="s">
        <v>5163</v>
      </c>
      <c r="D828" s="107" t="s">
        <v>2522</v>
      </c>
      <c r="E828">
        <v>16</v>
      </c>
      <c r="F828" s="556">
        <v>37</v>
      </c>
      <c r="G828" s="541">
        <v>2283.47</v>
      </c>
      <c r="H828" s="560">
        <v>0</v>
      </c>
      <c r="I828" s="107">
        <v>4</v>
      </c>
      <c r="K828" s="370">
        <v>3280</v>
      </c>
      <c r="L828" s="371" t="s">
        <v>9</v>
      </c>
      <c r="M828" s="372" t="s">
        <v>1779</v>
      </c>
      <c r="N828" s="373" t="s">
        <v>10</v>
      </c>
      <c r="O828" s="374" t="s">
        <v>9</v>
      </c>
      <c r="P828" s="374" t="s">
        <v>1781</v>
      </c>
    </row>
    <row r="829" spans="1:16" ht="12.75">
      <c r="A829">
        <v>822</v>
      </c>
      <c r="B829" s="557" t="s">
        <v>5164</v>
      </c>
      <c r="C829" t="s">
        <v>5165</v>
      </c>
      <c r="D829" s="107" t="s">
        <v>2522</v>
      </c>
      <c r="E829">
        <v>5</v>
      </c>
      <c r="F829" s="556">
        <v>37</v>
      </c>
      <c r="G829" s="541">
        <v>7300</v>
      </c>
      <c r="H829" s="560">
        <v>0</v>
      </c>
      <c r="I829" s="107">
        <v>2</v>
      </c>
      <c r="K829" s="370">
        <v>3281</v>
      </c>
      <c r="L829" s="371" t="s">
        <v>11</v>
      </c>
      <c r="M829" s="372" t="s">
        <v>1779</v>
      </c>
      <c r="N829" s="373" t="s">
        <v>12</v>
      </c>
      <c r="O829" s="374" t="s">
        <v>11</v>
      </c>
      <c r="P829" s="374" t="s">
        <v>1781</v>
      </c>
    </row>
    <row r="830" spans="1:16" ht="12.75">
      <c r="A830">
        <v>823</v>
      </c>
      <c r="B830" s="557">
        <v>2709</v>
      </c>
      <c r="C830" t="s">
        <v>5166</v>
      </c>
      <c r="D830" s="107" t="s">
        <v>2439</v>
      </c>
      <c r="E830">
        <v>53770</v>
      </c>
      <c r="F830" s="556">
        <v>36</v>
      </c>
      <c r="G830" s="541">
        <v>0.68</v>
      </c>
      <c r="H830" s="560">
        <v>0</v>
      </c>
      <c r="I830" s="107">
        <v>3</v>
      </c>
      <c r="K830" s="370">
        <v>3285</v>
      </c>
      <c r="L830" s="371" t="s">
        <v>13</v>
      </c>
      <c r="M830" s="372" t="s">
        <v>955</v>
      </c>
      <c r="N830" s="373" t="s">
        <v>14</v>
      </c>
      <c r="O830" s="374" t="s">
        <v>13</v>
      </c>
      <c r="P830" s="374" t="s">
        <v>957</v>
      </c>
    </row>
    <row r="831" spans="1:16" ht="12.75">
      <c r="A831">
        <v>824</v>
      </c>
      <c r="B831" s="557">
        <v>6540</v>
      </c>
      <c r="C831" t="s">
        <v>5167</v>
      </c>
      <c r="D831" s="107" t="s">
        <v>2439</v>
      </c>
      <c r="E831">
        <v>39609</v>
      </c>
      <c r="F831" s="556">
        <v>36</v>
      </c>
      <c r="G831" s="541">
        <v>0.92</v>
      </c>
      <c r="H831" s="560">
        <v>0</v>
      </c>
      <c r="I831" s="107">
        <v>7</v>
      </c>
      <c r="K831" s="370">
        <v>3286</v>
      </c>
      <c r="L831" s="371" t="s">
        <v>15</v>
      </c>
      <c r="M831" s="372" t="s">
        <v>955</v>
      </c>
      <c r="N831" s="373" t="s">
        <v>16</v>
      </c>
      <c r="O831" s="374" t="s">
        <v>15</v>
      </c>
      <c r="P831" s="374" t="s">
        <v>957</v>
      </c>
    </row>
    <row r="832" spans="1:14" ht="12.75">
      <c r="A832">
        <v>825</v>
      </c>
      <c r="B832" s="557">
        <v>8810</v>
      </c>
      <c r="C832" t="s">
        <v>5168</v>
      </c>
      <c r="D832" s="107" t="s">
        <v>2522</v>
      </c>
      <c r="E832">
        <v>26</v>
      </c>
      <c r="F832" s="556">
        <v>36</v>
      </c>
      <c r="G832" s="541">
        <v>1373.08</v>
      </c>
      <c r="H832" s="560">
        <v>0</v>
      </c>
      <c r="I832" s="107">
        <v>3</v>
      </c>
      <c r="K832" s="370">
        <v>3287</v>
      </c>
      <c r="L832" s="371" t="s">
        <v>17</v>
      </c>
      <c r="M832" s="372" t="s">
        <v>2821</v>
      </c>
      <c r="N832" s="373"/>
    </row>
    <row r="833" spans="1:14" ht="12.75">
      <c r="A833">
        <v>826</v>
      </c>
      <c r="B833" s="557">
        <v>1897</v>
      </c>
      <c r="C833" t="s">
        <v>5169</v>
      </c>
      <c r="D833" s="107" t="s">
        <v>2439</v>
      </c>
      <c r="E833">
        <v>2089</v>
      </c>
      <c r="F833" s="556">
        <v>36</v>
      </c>
      <c r="G833" s="541">
        <v>17.01</v>
      </c>
      <c r="H833" s="560">
        <v>0</v>
      </c>
      <c r="I833" s="107">
        <v>3</v>
      </c>
      <c r="K833" s="370">
        <v>3288</v>
      </c>
      <c r="L833" s="371" t="s">
        <v>18</v>
      </c>
      <c r="M833" s="372" t="s">
        <v>2821</v>
      </c>
      <c r="N833" s="373"/>
    </row>
    <row r="834" spans="1:14" ht="12.75">
      <c r="A834">
        <v>827</v>
      </c>
      <c r="B834" s="557">
        <v>14006</v>
      </c>
      <c r="C834" t="s">
        <v>4286</v>
      </c>
      <c r="D834" s="107" t="s">
        <v>2439</v>
      </c>
      <c r="E834">
        <v>145</v>
      </c>
      <c r="F834" s="556">
        <v>36</v>
      </c>
      <c r="G834" s="541">
        <v>245</v>
      </c>
      <c r="H834" s="560">
        <v>0</v>
      </c>
      <c r="I834" s="107">
        <v>1</v>
      </c>
      <c r="K834" s="370">
        <v>3289</v>
      </c>
      <c r="L834" s="371" t="s">
        <v>19</v>
      </c>
      <c r="M834" s="372" t="s">
        <v>2821</v>
      </c>
      <c r="N834" s="373"/>
    </row>
    <row r="835" spans="1:14" ht="12.75">
      <c r="A835">
        <v>828</v>
      </c>
      <c r="B835" s="557" t="s">
        <v>4314</v>
      </c>
      <c r="C835" t="s">
        <v>5170</v>
      </c>
      <c r="D835" s="107" t="s">
        <v>2522</v>
      </c>
      <c r="E835">
        <v>35</v>
      </c>
      <c r="F835" s="556">
        <v>35</v>
      </c>
      <c r="G835" s="541">
        <v>1008</v>
      </c>
      <c r="H835" s="560">
        <v>0</v>
      </c>
      <c r="I835" s="107">
        <v>5</v>
      </c>
      <c r="K835" s="370">
        <v>3290</v>
      </c>
      <c r="L835" s="371" t="s">
        <v>20</v>
      </c>
      <c r="M835" s="372" t="s">
        <v>2821</v>
      </c>
      <c r="N835" s="373"/>
    </row>
    <row r="836" spans="1:14" ht="12.75">
      <c r="A836">
        <v>829</v>
      </c>
      <c r="B836" s="557">
        <v>8140</v>
      </c>
      <c r="C836" t="s">
        <v>5171</v>
      </c>
      <c r="D836" s="107" t="s">
        <v>2522</v>
      </c>
      <c r="E836">
        <v>657</v>
      </c>
      <c r="F836" s="556">
        <v>35</v>
      </c>
      <c r="G836" s="541">
        <v>53.55</v>
      </c>
      <c r="H836" s="560">
        <v>0</v>
      </c>
      <c r="I836" s="107">
        <v>2</v>
      </c>
      <c r="K836" s="370">
        <v>3291</v>
      </c>
      <c r="L836" s="371" t="s">
        <v>21</v>
      </c>
      <c r="M836" s="372" t="s">
        <v>751</v>
      </c>
      <c r="N836" s="373"/>
    </row>
    <row r="837" spans="1:16" ht="12.75">
      <c r="A837">
        <v>830</v>
      </c>
      <c r="B837" s="557" t="s">
        <v>4021</v>
      </c>
      <c r="C837" t="s">
        <v>5172</v>
      </c>
      <c r="D837" s="107" t="s">
        <v>2522</v>
      </c>
      <c r="E837">
        <v>67</v>
      </c>
      <c r="F837" s="556">
        <v>35</v>
      </c>
      <c r="G837" s="541">
        <v>524.45</v>
      </c>
      <c r="H837" s="560">
        <v>0</v>
      </c>
      <c r="I837" s="107">
        <v>19</v>
      </c>
      <c r="K837" s="370">
        <v>3293</v>
      </c>
      <c r="L837" s="371" t="s">
        <v>22</v>
      </c>
      <c r="M837" s="372" t="s">
        <v>751</v>
      </c>
      <c r="N837" s="373" t="s">
        <v>23</v>
      </c>
      <c r="O837" s="374" t="s">
        <v>24</v>
      </c>
      <c r="P837" s="374" t="s">
        <v>754</v>
      </c>
    </row>
    <row r="838" spans="1:16" ht="12.75">
      <c r="A838">
        <v>831</v>
      </c>
      <c r="B838" s="557" t="s">
        <v>5173</v>
      </c>
      <c r="C838" t="s">
        <v>5174</v>
      </c>
      <c r="D838" s="107" t="s">
        <v>1772</v>
      </c>
      <c r="E838">
        <v>157</v>
      </c>
      <c r="F838" s="556">
        <v>35</v>
      </c>
      <c r="G838" s="541">
        <v>223.5</v>
      </c>
      <c r="H838" s="560">
        <v>0</v>
      </c>
      <c r="I838" s="107">
        <v>1</v>
      </c>
      <c r="K838" s="370">
        <v>3294</v>
      </c>
      <c r="L838" s="371" t="s">
        <v>25</v>
      </c>
      <c r="M838" s="372" t="s">
        <v>751</v>
      </c>
      <c r="N838" s="373" t="s">
        <v>26</v>
      </c>
      <c r="O838" s="374" t="s">
        <v>27</v>
      </c>
      <c r="P838" s="374" t="s">
        <v>754</v>
      </c>
    </row>
    <row r="839" spans="1:16" ht="12.75">
      <c r="A839">
        <v>832</v>
      </c>
      <c r="B839" s="557">
        <v>6451</v>
      </c>
      <c r="C839" t="s">
        <v>5175</v>
      </c>
      <c r="D839" s="107" t="s">
        <v>2522</v>
      </c>
      <c r="E839">
        <v>114</v>
      </c>
      <c r="F839" s="556">
        <v>35</v>
      </c>
      <c r="G839" s="541">
        <v>306.46</v>
      </c>
      <c r="H839" s="560">
        <v>0</v>
      </c>
      <c r="I839" s="107">
        <v>5</v>
      </c>
      <c r="K839" s="370">
        <v>3295</v>
      </c>
      <c r="L839" s="371" t="s">
        <v>28</v>
      </c>
      <c r="M839" s="372" t="s">
        <v>751</v>
      </c>
      <c r="N839" s="373" t="s">
        <v>29</v>
      </c>
      <c r="O839" s="374" t="s">
        <v>30</v>
      </c>
      <c r="P839" s="374" t="s">
        <v>754</v>
      </c>
    </row>
    <row r="840" spans="1:16" ht="12.75">
      <c r="A840">
        <v>833</v>
      </c>
      <c r="B840" s="557" t="s">
        <v>4015</v>
      </c>
      <c r="C840" t="s">
        <v>5176</v>
      </c>
      <c r="D840" s="107" t="s">
        <v>1773</v>
      </c>
      <c r="E840">
        <v>87</v>
      </c>
      <c r="F840" s="556">
        <v>35</v>
      </c>
      <c r="G840" s="541">
        <v>400</v>
      </c>
      <c r="H840" s="560">
        <v>0</v>
      </c>
      <c r="I840" s="107">
        <v>1</v>
      </c>
      <c r="K840" s="370">
        <v>3296</v>
      </c>
      <c r="L840" s="371" t="s">
        <v>31</v>
      </c>
      <c r="M840" s="372" t="s">
        <v>751</v>
      </c>
      <c r="N840" s="373" t="s">
        <v>32</v>
      </c>
      <c r="O840" s="374" t="s">
        <v>33</v>
      </c>
      <c r="P840" s="374" t="s">
        <v>754</v>
      </c>
    </row>
    <row r="841" spans="1:16" ht="12.75">
      <c r="A841">
        <v>834</v>
      </c>
      <c r="B841" s="557">
        <v>2274</v>
      </c>
      <c r="C841" t="s">
        <v>5177</v>
      </c>
      <c r="D841" s="107" t="s">
        <v>2439</v>
      </c>
      <c r="E841" s="540">
        <v>310</v>
      </c>
      <c r="F841" s="556">
        <v>35</v>
      </c>
      <c r="G841" s="541">
        <v>111.46</v>
      </c>
      <c r="H841" s="560">
        <v>0</v>
      </c>
      <c r="I841" s="107">
        <v>3</v>
      </c>
      <c r="K841" s="370">
        <v>3297</v>
      </c>
      <c r="L841" s="371" t="s">
        <v>34</v>
      </c>
      <c r="M841" s="372" t="s">
        <v>751</v>
      </c>
      <c r="N841" s="373" t="s">
        <v>35</v>
      </c>
      <c r="O841" s="374" t="s">
        <v>927</v>
      </c>
      <c r="P841" s="374" t="s">
        <v>754</v>
      </c>
    </row>
    <row r="842" spans="1:16" ht="12.75">
      <c r="A842">
        <v>835</v>
      </c>
      <c r="B842" s="557" t="s">
        <v>4078</v>
      </c>
      <c r="C842" t="s">
        <v>5178</v>
      </c>
      <c r="D842" s="107" t="s">
        <v>1772</v>
      </c>
      <c r="E842">
        <v>3369</v>
      </c>
      <c r="F842" s="556">
        <v>35</v>
      </c>
      <c r="G842" s="541">
        <v>10.26</v>
      </c>
      <c r="H842" s="560">
        <v>0</v>
      </c>
      <c r="I842" s="107">
        <v>3</v>
      </c>
      <c r="K842" s="370">
        <v>3298</v>
      </c>
      <c r="L842" s="371" t="s">
        <v>928</v>
      </c>
      <c r="M842" s="372" t="s">
        <v>751</v>
      </c>
      <c r="N842" s="373" t="s">
        <v>929</v>
      </c>
      <c r="O842" s="374" t="s">
        <v>930</v>
      </c>
      <c r="P842" s="374" t="s">
        <v>754</v>
      </c>
    </row>
    <row r="843" spans="1:16" ht="12.75">
      <c r="A843">
        <v>836</v>
      </c>
      <c r="B843" s="557" t="s">
        <v>4042</v>
      </c>
      <c r="C843" t="s">
        <v>4043</v>
      </c>
      <c r="D843" s="107" t="s">
        <v>2522</v>
      </c>
      <c r="E843">
        <v>27</v>
      </c>
      <c r="F843" s="556">
        <v>34</v>
      </c>
      <c r="G843" s="541">
        <v>1275.61</v>
      </c>
      <c r="H843" s="560">
        <v>0</v>
      </c>
      <c r="I843" s="107">
        <v>13</v>
      </c>
      <c r="K843" s="370">
        <v>3299</v>
      </c>
      <c r="L843" s="371" t="s">
        <v>931</v>
      </c>
      <c r="M843" s="372" t="s">
        <v>751</v>
      </c>
      <c r="N843" s="373" t="s">
        <v>932</v>
      </c>
      <c r="O843" s="374" t="s">
        <v>931</v>
      </c>
      <c r="P843" s="374" t="s">
        <v>754</v>
      </c>
    </row>
    <row r="844" spans="1:14" ht="12.75">
      <c r="A844">
        <v>837</v>
      </c>
      <c r="B844" s="557">
        <v>14103</v>
      </c>
      <c r="C844" t="s">
        <v>5179</v>
      </c>
      <c r="D844" s="107" t="s">
        <v>2522</v>
      </c>
      <c r="E844" s="540">
        <v>23</v>
      </c>
      <c r="F844" s="556">
        <v>34</v>
      </c>
      <c r="G844" s="541">
        <v>1496.51</v>
      </c>
      <c r="H844" s="560">
        <v>0</v>
      </c>
      <c r="I844" s="107">
        <v>2</v>
      </c>
      <c r="K844" s="370">
        <v>3300</v>
      </c>
      <c r="L844" s="371" t="s">
        <v>933</v>
      </c>
      <c r="M844" s="372" t="s">
        <v>751</v>
      </c>
      <c r="N844" s="373"/>
    </row>
    <row r="845" spans="1:14" ht="12.75">
      <c r="A845">
        <v>838</v>
      </c>
      <c r="B845" s="557">
        <v>1395</v>
      </c>
      <c r="C845" t="s">
        <v>5180</v>
      </c>
      <c r="D845" s="107" t="s">
        <v>2522</v>
      </c>
      <c r="E845" s="540">
        <v>5</v>
      </c>
      <c r="F845" s="556">
        <v>34</v>
      </c>
      <c r="G845" s="541">
        <v>6878.26</v>
      </c>
      <c r="H845" s="560">
        <v>0</v>
      </c>
      <c r="I845" s="107">
        <v>3</v>
      </c>
      <c r="K845" s="370">
        <v>3301</v>
      </c>
      <c r="L845" s="371" t="s">
        <v>934</v>
      </c>
      <c r="M845" s="372" t="s">
        <v>751</v>
      </c>
      <c r="N845" s="373"/>
    </row>
    <row r="846" spans="1:14" ht="12.75">
      <c r="A846">
        <v>839</v>
      </c>
      <c r="B846" s="557">
        <v>15099</v>
      </c>
      <c r="C846" t="s">
        <v>5181</v>
      </c>
      <c r="D846" s="107" t="s">
        <v>2522</v>
      </c>
      <c r="E846">
        <v>10</v>
      </c>
      <c r="F846" s="556">
        <v>34</v>
      </c>
      <c r="G846" s="541">
        <v>3425.5</v>
      </c>
      <c r="H846" s="560">
        <v>0</v>
      </c>
      <c r="I846" s="107">
        <v>4</v>
      </c>
      <c r="K846" s="370">
        <v>3302</v>
      </c>
      <c r="L846" s="371" t="s">
        <v>935</v>
      </c>
      <c r="M846" s="372" t="s">
        <v>751</v>
      </c>
      <c r="N846" s="373"/>
    </row>
    <row r="847" spans="1:14" ht="12.75">
      <c r="A847">
        <v>840</v>
      </c>
      <c r="B847" s="557">
        <v>556</v>
      </c>
      <c r="C847" t="s">
        <v>5182</v>
      </c>
      <c r="D847" s="107" t="s">
        <v>2439</v>
      </c>
      <c r="E847">
        <v>158</v>
      </c>
      <c r="F847" s="556">
        <v>34</v>
      </c>
      <c r="G847" s="541">
        <v>214.5</v>
      </c>
      <c r="H847" s="560">
        <v>0</v>
      </c>
      <c r="I847" s="107">
        <v>1</v>
      </c>
      <c r="K847" s="370">
        <v>3303</v>
      </c>
      <c r="L847" s="371" t="s">
        <v>936</v>
      </c>
      <c r="M847" s="372" t="s">
        <v>3173</v>
      </c>
      <c r="N847" s="373"/>
    </row>
    <row r="848" spans="1:14" ht="12.75">
      <c r="A848">
        <v>841</v>
      </c>
      <c r="B848" s="557" t="s">
        <v>4284</v>
      </c>
      <c r="C848" t="s">
        <v>4285</v>
      </c>
      <c r="D848" s="107" t="s">
        <v>2522</v>
      </c>
      <c r="E848">
        <v>16</v>
      </c>
      <c r="F848" s="556">
        <v>34</v>
      </c>
      <c r="G848" s="541">
        <v>2112.41</v>
      </c>
      <c r="H848" s="560">
        <v>0</v>
      </c>
      <c r="I848" s="107">
        <v>3</v>
      </c>
      <c r="K848" s="370">
        <v>3304</v>
      </c>
      <c r="L848" s="371" t="s">
        <v>937</v>
      </c>
      <c r="M848" s="372" t="s">
        <v>3173</v>
      </c>
      <c r="N848" s="373"/>
    </row>
    <row r="849" spans="1:14" ht="12.75">
      <c r="A849">
        <v>842</v>
      </c>
      <c r="B849" s="557">
        <v>40100</v>
      </c>
      <c r="C849" t="s">
        <v>5183</v>
      </c>
      <c r="D849" s="107" t="s">
        <v>2439</v>
      </c>
      <c r="E849" s="540">
        <v>33600</v>
      </c>
      <c r="F849" s="556">
        <v>34</v>
      </c>
      <c r="G849" s="541">
        <v>1</v>
      </c>
      <c r="H849" s="560">
        <v>0</v>
      </c>
      <c r="I849" s="107">
        <v>1</v>
      </c>
      <c r="K849" s="370">
        <v>3305</v>
      </c>
      <c r="L849" s="371" t="s">
        <v>938</v>
      </c>
      <c r="M849" s="372" t="s">
        <v>2821</v>
      </c>
      <c r="N849" s="375"/>
    </row>
    <row r="850" spans="1:14" ht="12.75">
      <c r="A850">
        <v>843</v>
      </c>
      <c r="B850" s="557">
        <v>1645</v>
      </c>
      <c r="C850" t="s">
        <v>5184</v>
      </c>
      <c r="D850" s="107" t="s">
        <v>2522</v>
      </c>
      <c r="E850">
        <v>8</v>
      </c>
      <c r="F850" s="556">
        <v>34</v>
      </c>
      <c r="G850" s="541">
        <v>4194.23</v>
      </c>
      <c r="H850" s="560">
        <v>0</v>
      </c>
      <c r="I850" s="107">
        <v>6</v>
      </c>
      <c r="K850" s="370">
        <v>3306</v>
      </c>
      <c r="L850" s="371" t="s">
        <v>939</v>
      </c>
      <c r="M850" s="372" t="s">
        <v>2821</v>
      </c>
      <c r="N850" s="373"/>
    </row>
    <row r="851" spans="1:16" ht="12.75">
      <c r="A851">
        <v>844</v>
      </c>
      <c r="B851" s="557">
        <v>40028</v>
      </c>
      <c r="C851" t="s">
        <v>5185</v>
      </c>
      <c r="D851" s="107" t="s">
        <v>1773</v>
      </c>
      <c r="E851">
        <v>480</v>
      </c>
      <c r="F851" s="556">
        <v>33</v>
      </c>
      <c r="G851" s="541">
        <v>69.69</v>
      </c>
      <c r="H851" s="560">
        <v>0</v>
      </c>
      <c r="I851" s="107">
        <v>1</v>
      </c>
      <c r="K851" s="370">
        <v>3330</v>
      </c>
      <c r="L851" s="371" t="s">
        <v>940</v>
      </c>
      <c r="M851" s="372" t="s">
        <v>751</v>
      </c>
      <c r="N851" s="373" t="s">
        <v>941</v>
      </c>
      <c r="O851" s="374" t="s">
        <v>942</v>
      </c>
      <c r="P851" s="374" t="s">
        <v>754</v>
      </c>
    </row>
    <row r="852" spans="1:16" ht="12.75">
      <c r="A852">
        <v>845</v>
      </c>
      <c r="B852" s="557">
        <v>40170</v>
      </c>
      <c r="C852" t="s">
        <v>5129</v>
      </c>
      <c r="D852" s="107" t="s">
        <v>1772</v>
      </c>
      <c r="E852" s="540">
        <v>2000</v>
      </c>
      <c r="F852" s="556">
        <v>33</v>
      </c>
      <c r="G852" s="541">
        <v>16.71</v>
      </c>
      <c r="H852" s="560">
        <v>0</v>
      </c>
      <c r="I852" s="107">
        <v>1</v>
      </c>
      <c r="K852" s="370">
        <v>3340</v>
      </c>
      <c r="L852" s="371" t="s">
        <v>943</v>
      </c>
      <c r="M852" s="372" t="s">
        <v>751</v>
      </c>
      <c r="N852" s="373" t="s">
        <v>944</v>
      </c>
      <c r="O852" s="374" t="s">
        <v>945</v>
      </c>
      <c r="P852" s="374" t="s">
        <v>754</v>
      </c>
    </row>
    <row r="853" spans="1:16" ht="12.75">
      <c r="A853">
        <v>846</v>
      </c>
      <c r="B853" s="557">
        <v>14092</v>
      </c>
      <c r="C853" t="s">
        <v>5186</v>
      </c>
      <c r="D853" s="107" t="s">
        <v>2522</v>
      </c>
      <c r="E853">
        <v>9</v>
      </c>
      <c r="F853" s="556">
        <v>33</v>
      </c>
      <c r="G853" s="541">
        <v>3685.56</v>
      </c>
      <c r="H853" s="560">
        <v>0</v>
      </c>
      <c r="I853" s="107">
        <v>3</v>
      </c>
      <c r="K853" s="370">
        <v>3343</v>
      </c>
      <c r="L853" s="371" t="s">
        <v>946</v>
      </c>
      <c r="M853" s="372" t="s">
        <v>751</v>
      </c>
      <c r="N853" s="373" t="s">
        <v>947</v>
      </c>
      <c r="O853" s="374" t="s">
        <v>948</v>
      </c>
      <c r="P853" s="374" t="s">
        <v>754</v>
      </c>
    </row>
    <row r="854" spans="1:16" ht="12.75">
      <c r="A854">
        <v>847</v>
      </c>
      <c r="B854" s="557">
        <v>1921</v>
      </c>
      <c r="C854" t="s">
        <v>5187</v>
      </c>
      <c r="D854" s="107" t="s">
        <v>1772</v>
      </c>
      <c r="E854">
        <v>213</v>
      </c>
      <c r="F854" s="556">
        <v>33</v>
      </c>
      <c r="G854" s="541">
        <v>155.42</v>
      </c>
      <c r="H854" s="560">
        <v>0</v>
      </c>
      <c r="I854" s="107">
        <v>2</v>
      </c>
      <c r="K854" s="370">
        <v>3349</v>
      </c>
      <c r="L854" s="371" t="s">
        <v>949</v>
      </c>
      <c r="M854" s="372" t="s">
        <v>751</v>
      </c>
      <c r="N854" s="373" t="s">
        <v>950</v>
      </c>
      <c r="O854" s="374" t="s">
        <v>951</v>
      </c>
      <c r="P854" s="374" t="s">
        <v>754</v>
      </c>
    </row>
    <row r="855" spans="1:16" ht="12.75">
      <c r="A855">
        <v>848</v>
      </c>
      <c r="B855" s="557">
        <v>6578</v>
      </c>
      <c r="C855" t="s">
        <v>5188</v>
      </c>
      <c r="D855" s="107" t="s">
        <v>2522</v>
      </c>
      <c r="E855">
        <v>105</v>
      </c>
      <c r="F855" s="556">
        <v>33</v>
      </c>
      <c r="G855" s="541">
        <v>314.51</v>
      </c>
      <c r="H855" s="560">
        <v>0</v>
      </c>
      <c r="I855" s="107">
        <v>29</v>
      </c>
      <c r="K855" s="370">
        <v>3360</v>
      </c>
      <c r="L855" s="371" t="s">
        <v>95</v>
      </c>
      <c r="M855" s="372" t="s">
        <v>751</v>
      </c>
      <c r="N855" s="373" t="s">
        <v>96</v>
      </c>
      <c r="O855" s="374" t="s">
        <v>97</v>
      </c>
      <c r="P855" s="374" t="s">
        <v>754</v>
      </c>
    </row>
    <row r="856" spans="1:16" ht="12.75">
      <c r="A856">
        <v>849</v>
      </c>
      <c r="B856" s="557">
        <v>6415</v>
      </c>
      <c r="C856" t="s">
        <v>5189</v>
      </c>
      <c r="D856" s="107" t="s">
        <v>2522</v>
      </c>
      <c r="E856">
        <v>1</v>
      </c>
      <c r="F856" s="556">
        <v>33</v>
      </c>
      <c r="G856" s="541">
        <v>33007.17</v>
      </c>
      <c r="H856" s="560">
        <v>0</v>
      </c>
      <c r="I856" s="107">
        <v>1</v>
      </c>
      <c r="K856" s="370">
        <v>3361</v>
      </c>
      <c r="L856" s="371" t="s">
        <v>98</v>
      </c>
      <c r="M856" s="372" t="s">
        <v>751</v>
      </c>
      <c r="N856" s="373" t="s">
        <v>99</v>
      </c>
      <c r="O856" s="374" t="s">
        <v>100</v>
      </c>
      <c r="P856" s="374" t="s">
        <v>754</v>
      </c>
    </row>
    <row r="857" spans="1:16" ht="12.75">
      <c r="A857">
        <v>850</v>
      </c>
      <c r="B857" s="557">
        <v>1986</v>
      </c>
      <c r="C857" t="s">
        <v>5190</v>
      </c>
      <c r="D857" s="107" t="s">
        <v>2522</v>
      </c>
      <c r="E857">
        <v>1959</v>
      </c>
      <c r="F857" s="556">
        <v>33</v>
      </c>
      <c r="G857" s="541">
        <v>16.83</v>
      </c>
      <c r="H857" s="560">
        <v>0</v>
      </c>
      <c r="I857" s="107">
        <v>7</v>
      </c>
      <c r="K857" s="370">
        <v>3362</v>
      </c>
      <c r="L857" s="371" t="s">
        <v>101</v>
      </c>
      <c r="M857" s="372" t="s">
        <v>751</v>
      </c>
      <c r="N857" s="373" t="s">
        <v>102</v>
      </c>
      <c r="O857" s="374" t="s">
        <v>103</v>
      </c>
      <c r="P857" s="374" t="s">
        <v>754</v>
      </c>
    </row>
    <row r="858" spans="1:16" ht="12.75">
      <c r="A858">
        <v>851</v>
      </c>
      <c r="B858" s="557" t="s">
        <v>5191</v>
      </c>
      <c r="C858" t="s">
        <v>5192</v>
      </c>
      <c r="D858" s="107" t="s">
        <v>2439</v>
      </c>
      <c r="E858">
        <v>160</v>
      </c>
      <c r="F858" s="556">
        <v>33</v>
      </c>
      <c r="G858" s="541">
        <v>205</v>
      </c>
      <c r="H858" s="560">
        <v>0</v>
      </c>
      <c r="I858" s="107">
        <v>1</v>
      </c>
      <c r="K858" s="370">
        <v>3363</v>
      </c>
      <c r="L858" s="371" t="s">
        <v>104</v>
      </c>
      <c r="M858" s="372" t="s">
        <v>751</v>
      </c>
      <c r="N858" s="373" t="s">
        <v>105</v>
      </c>
      <c r="O858" s="374" t="s">
        <v>106</v>
      </c>
      <c r="P858" s="374" t="s">
        <v>754</v>
      </c>
    </row>
    <row r="859" spans="1:16" ht="12.75">
      <c r="A859">
        <v>852</v>
      </c>
      <c r="B859" s="557" t="s">
        <v>5193</v>
      </c>
      <c r="C859" t="s">
        <v>5194</v>
      </c>
      <c r="D859" s="107" t="s">
        <v>2439</v>
      </c>
      <c r="E859">
        <v>145</v>
      </c>
      <c r="F859" s="556">
        <v>33</v>
      </c>
      <c r="G859" s="541">
        <v>225.04</v>
      </c>
      <c r="H859" s="560">
        <v>0</v>
      </c>
      <c r="I859" s="107">
        <v>1</v>
      </c>
      <c r="K859" s="370">
        <v>3369</v>
      </c>
      <c r="L859" s="371" t="s">
        <v>107</v>
      </c>
      <c r="M859" s="372" t="s">
        <v>751</v>
      </c>
      <c r="N859" s="373" t="s">
        <v>108</v>
      </c>
      <c r="O859" s="374" t="s">
        <v>109</v>
      </c>
      <c r="P859" s="374" t="s">
        <v>754</v>
      </c>
    </row>
    <row r="860" spans="1:16" ht="12.75">
      <c r="A860">
        <v>853</v>
      </c>
      <c r="B860" s="557">
        <v>8808</v>
      </c>
      <c r="C860" t="s">
        <v>5195</v>
      </c>
      <c r="D860" s="107" t="s">
        <v>2439</v>
      </c>
      <c r="E860">
        <v>300</v>
      </c>
      <c r="F860" s="556">
        <v>33</v>
      </c>
      <c r="G860" s="541">
        <v>108.62</v>
      </c>
      <c r="H860" s="560">
        <v>0</v>
      </c>
      <c r="I860" s="107">
        <v>1</v>
      </c>
      <c r="K860" s="370">
        <v>3370</v>
      </c>
      <c r="L860" s="371" t="s">
        <v>110</v>
      </c>
      <c r="M860" s="372" t="s">
        <v>751</v>
      </c>
      <c r="N860" s="373" t="s">
        <v>111</v>
      </c>
      <c r="O860" s="374" t="s">
        <v>112</v>
      </c>
      <c r="P860" s="374" t="s">
        <v>754</v>
      </c>
    </row>
    <row r="861" spans="1:16" ht="12.75">
      <c r="A861">
        <v>854</v>
      </c>
      <c r="B861" s="557" t="s">
        <v>4085</v>
      </c>
      <c r="C861" t="s">
        <v>5196</v>
      </c>
      <c r="D861" s="107" t="s">
        <v>2522</v>
      </c>
      <c r="E861">
        <v>61</v>
      </c>
      <c r="F861" s="556">
        <v>31</v>
      </c>
      <c r="G861" s="541">
        <v>514.02</v>
      </c>
      <c r="H861" s="560">
        <v>0</v>
      </c>
      <c r="I861" s="107">
        <v>9</v>
      </c>
      <c r="K861" s="370">
        <v>3371</v>
      </c>
      <c r="L861" s="371" t="s">
        <v>113</v>
      </c>
      <c r="M861" s="372" t="s">
        <v>751</v>
      </c>
      <c r="N861" s="373" t="s">
        <v>114</v>
      </c>
      <c r="O861" s="374" t="s">
        <v>115</v>
      </c>
      <c r="P861" s="374" t="s">
        <v>754</v>
      </c>
    </row>
    <row r="862" spans="1:16" ht="12.75">
      <c r="A862">
        <v>855</v>
      </c>
      <c r="B862" s="557" t="s">
        <v>4174</v>
      </c>
      <c r="C862" t="s">
        <v>5197</v>
      </c>
      <c r="D862" s="107" t="s">
        <v>2439</v>
      </c>
      <c r="E862">
        <v>310</v>
      </c>
      <c r="F862" s="556">
        <v>31</v>
      </c>
      <c r="G862" s="541">
        <v>100</v>
      </c>
      <c r="H862" s="560">
        <v>0</v>
      </c>
      <c r="I862" s="107">
        <v>1</v>
      </c>
      <c r="K862" s="370">
        <v>3372</v>
      </c>
      <c r="L862" s="371" t="s">
        <v>116</v>
      </c>
      <c r="M862" s="372" t="s">
        <v>751</v>
      </c>
      <c r="N862" s="373" t="s">
        <v>117</v>
      </c>
      <c r="O862" s="374" t="s">
        <v>118</v>
      </c>
      <c r="P862" s="374" t="s">
        <v>754</v>
      </c>
    </row>
    <row r="863" spans="1:16" ht="12.75">
      <c r="A863">
        <v>856</v>
      </c>
      <c r="B863" s="557">
        <v>40134</v>
      </c>
      <c r="C863" t="s">
        <v>5198</v>
      </c>
      <c r="D863" s="107" t="s">
        <v>2522</v>
      </c>
      <c r="E863">
        <v>2</v>
      </c>
      <c r="F863" s="556">
        <v>31</v>
      </c>
      <c r="G863" s="541">
        <v>15500</v>
      </c>
      <c r="H863" s="560">
        <v>0</v>
      </c>
      <c r="I863" s="107">
        <v>1</v>
      </c>
      <c r="K863" s="370">
        <v>3378</v>
      </c>
      <c r="L863" s="371" t="s">
        <v>119</v>
      </c>
      <c r="M863" s="372" t="s">
        <v>751</v>
      </c>
      <c r="N863" s="373" t="s">
        <v>120</v>
      </c>
      <c r="O863" s="374" t="s">
        <v>121</v>
      </c>
      <c r="P863" s="374" t="s">
        <v>754</v>
      </c>
    </row>
    <row r="864" spans="1:16" ht="12.75">
      <c r="A864">
        <v>857</v>
      </c>
      <c r="B864" s="557" t="s">
        <v>4294</v>
      </c>
      <c r="C864" t="s">
        <v>5199</v>
      </c>
      <c r="D864" s="107" t="s">
        <v>2522</v>
      </c>
      <c r="E864" s="540">
        <v>124</v>
      </c>
      <c r="F864" s="556">
        <v>31</v>
      </c>
      <c r="G864" s="541">
        <v>249.52</v>
      </c>
      <c r="H864" s="560">
        <v>0</v>
      </c>
      <c r="I864" s="107">
        <v>6</v>
      </c>
      <c r="K864" s="370">
        <v>3379</v>
      </c>
      <c r="L864" s="371" t="s">
        <v>122</v>
      </c>
      <c r="M864" s="372" t="s">
        <v>751</v>
      </c>
      <c r="N864" s="373" t="s">
        <v>123</v>
      </c>
      <c r="O864" s="374" t="s">
        <v>124</v>
      </c>
      <c r="P864" s="374" t="s">
        <v>754</v>
      </c>
    </row>
    <row r="865" spans="1:16" ht="12.75">
      <c r="A865">
        <v>858</v>
      </c>
      <c r="B865" s="557">
        <v>4885</v>
      </c>
      <c r="C865" t="s">
        <v>5200</v>
      </c>
      <c r="D865" s="107" t="s">
        <v>2439</v>
      </c>
      <c r="E865">
        <v>5901</v>
      </c>
      <c r="F865" s="556">
        <v>31</v>
      </c>
      <c r="G865" s="541">
        <v>5.24</v>
      </c>
      <c r="H865" s="560">
        <v>0</v>
      </c>
      <c r="I865" s="107">
        <v>10</v>
      </c>
      <c r="K865" s="370">
        <v>3380</v>
      </c>
      <c r="L865" s="371" t="s">
        <v>125</v>
      </c>
      <c r="M865" s="372" t="s">
        <v>751</v>
      </c>
      <c r="N865" s="373" t="s">
        <v>126</v>
      </c>
      <c r="O865" s="374" t="s">
        <v>127</v>
      </c>
      <c r="P865" s="374" t="s">
        <v>754</v>
      </c>
    </row>
    <row r="866" spans="1:16" ht="12.75">
      <c r="A866">
        <v>859</v>
      </c>
      <c r="B866" s="557">
        <v>8805</v>
      </c>
      <c r="C866" t="s">
        <v>5201</v>
      </c>
      <c r="D866" s="107" t="s">
        <v>2439</v>
      </c>
      <c r="E866">
        <v>205</v>
      </c>
      <c r="F866" s="556">
        <v>31</v>
      </c>
      <c r="G866" s="541">
        <v>150.8</v>
      </c>
      <c r="H866" s="560">
        <v>0</v>
      </c>
      <c r="I866" s="107">
        <v>3</v>
      </c>
      <c r="K866" s="370">
        <v>3381</v>
      </c>
      <c r="L866" s="371" t="s">
        <v>128</v>
      </c>
      <c r="M866" s="372" t="s">
        <v>751</v>
      </c>
      <c r="N866" s="373" t="s">
        <v>129</v>
      </c>
      <c r="O866" s="374" t="s">
        <v>130</v>
      </c>
      <c r="P866" s="374" t="s">
        <v>754</v>
      </c>
    </row>
    <row r="867" spans="1:16" ht="12.75">
      <c r="A867">
        <v>860</v>
      </c>
      <c r="B867" s="557">
        <v>1643</v>
      </c>
      <c r="C867" t="s">
        <v>5202</v>
      </c>
      <c r="D867" s="107" t="s">
        <v>2522</v>
      </c>
      <c r="E867">
        <v>9</v>
      </c>
      <c r="F867" s="556">
        <v>31</v>
      </c>
      <c r="G867" s="541">
        <v>3427.78</v>
      </c>
      <c r="H867" s="560">
        <v>0</v>
      </c>
      <c r="I867" s="107">
        <v>6</v>
      </c>
      <c r="K867" s="370">
        <v>3382</v>
      </c>
      <c r="L867" s="371" t="s">
        <v>131</v>
      </c>
      <c r="M867" s="372" t="s">
        <v>751</v>
      </c>
      <c r="N867" s="373" t="s">
        <v>132</v>
      </c>
      <c r="O867" s="374" t="s">
        <v>133</v>
      </c>
      <c r="P867" s="374" t="s">
        <v>754</v>
      </c>
    </row>
    <row r="868" spans="1:16" ht="12.75">
      <c r="A868">
        <v>861</v>
      </c>
      <c r="B868" s="557">
        <v>1432</v>
      </c>
      <c r="C868" t="s">
        <v>5203</v>
      </c>
      <c r="D868" s="107" t="s">
        <v>2522</v>
      </c>
      <c r="E868">
        <v>11</v>
      </c>
      <c r="F868" s="556">
        <v>31</v>
      </c>
      <c r="G868" s="541">
        <v>2772.73</v>
      </c>
      <c r="H868" s="560">
        <v>0</v>
      </c>
      <c r="I868" s="107">
        <v>4</v>
      </c>
      <c r="K868" s="370">
        <v>3383</v>
      </c>
      <c r="L868" s="371" t="s">
        <v>134</v>
      </c>
      <c r="M868" s="372" t="s">
        <v>751</v>
      </c>
      <c r="N868" s="373" t="s">
        <v>135</v>
      </c>
      <c r="O868" s="374" t="s">
        <v>136</v>
      </c>
      <c r="P868" s="374" t="s">
        <v>754</v>
      </c>
    </row>
    <row r="869" spans="1:16" ht="12.75">
      <c r="A869">
        <v>862</v>
      </c>
      <c r="B869" s="557" t="s">
        <v>4152</v>
      </c>
      <c r="C869" t="s">
        <v>5204</v>
      </c>
      <c r="D869" s="107" t="s">
        <v>2522</v>
      </c>
      <c r="E869">
        <v>6</v>
      </c>
      <c r="F869" s="556">
        <v>30</v>
      </c>
      <c r="G869" s="541">
        <v>5066.67</v>
      </c>
      <c r="H869" s="560">
        <v>0</v>
      </c>
      <c r="I869" s="107">
        <v>2</v>
      </c>
      <c r="K869" s="370">
        <v>3385</v>
      </c>
      <c r="L869" s="371" t="s">
        <v>137</v>
      </c>
      <c r="M869" s="372" t="s">
        <v>751</v>
      </c>
      <c r="N869" s="373" t="s">
        <v>138</v>
      </c>
      <c r="O869" s="374" t="s">
        <v>139</v>
      </c>
      <c r="P869" s="374" t="s">
        <v>754</v>
      </c>
    </row>
    <row r="870" spans="1:16" ht="12.75">
      <c r="A870">
        <v>863</v>
      </c>
      <c r="B870" s="557">
        <v>1720</v>
      </c>
      <c r="C870" t="s">
        <v>5205</v>
      </c>
      <c r="D870" s="107" t="s">
        <v>2522</v>
      </c>
      <c r="E870">
        <v>8</v>
      </c>
      <c r="F870" s="556">
        <v>30</v>
      </c>
      <c r="G870" s="541">
        <v>3787.5</v>
      </c>
      <c r="H870" s="560">
        <v>0</v>
      </c>
      <c r="I870" s="107">
        <v>5</v>
      </c>
      <c r="K870" s="370">
        <v>3387</v>
      </c>
      <c r="L870" s="371" t="s">
        <v>140</v>
      </c>
      <c r="M870" s="372" t="s">
        <v>751</v>
      </c>
      <c r="N870" s="373" t="s">
        <v>141</v>
      </c>
      <c r="O870" s="374" t="s">
        <v>142</v>
      </c>
      <c r="P870" s="374" t="s">
        <v>754</v>
      </c>
    </row>
    <row r="871" spans="1:16" ht="12.75">
      <c r="A871">
        <v>864</v>
      </c>
      <c r="B871" s="557">
        <v>1440</v>
      </c>
      <c r="C871" t="s">
        <v>5206</v>
      </c>
      <c r="D871" s="107" t="s">
        <v>2522</v>
      </c>
      <c r="E871">
        <v>8</v>
      </c>
      <c r="F871" s="556">
        <v>30</v>
      </c>
      <c r="G871" s="541">
        <v>3760.1</v>
      </c>
      <c r="H871" s="560">
        <v>0</v>
      </c>
      <c r="I871" s="107">
        <v>4</v>
      </c>
      <c r="K871" s="370">
        <v>3389</v>
      </c>
      <c r="L871" s="371" t="s">
        <v>143</v>
      </c>
      <c r="M871" s="372" t="s">
        <v>751</v>
      </c>
      <c r="N871" s="373" t="s">
        <v>144</v>
      </c>
      <c r="O871" s="374" t="s">
        <v>145</v>
      </c>
      <c r="P871" s="374" t="s">
        <v>754</v>
      </c>
    </row>
    <row r="872" spans="1:16" ht="12.75">
      <c r="A872">
        <v>865</v>
      </c>
      <c r="B872" s="557">
        <v>14073</v>
      </c>
      <c r="C872" t="s">
        <v>4274</v>
      </c>
      <c r="D872" s="107" t="s">
        <v>2439</v>
      </c>
      <c r="E872">
        <v>80</v>
      </c>
      <c r="F872" s="556">
        <v>30</v>
      </c>
      <c r="G872" s="541">
        <v>375.99</v>
      </c>
      <c r="H872" s="560">
        <v>0</v>
      </c>
      <c r="I872" s="107">
        <v>1</v>
      </c>
      <c r="K872" s="370">
        <v>3391</v>
      </c>
      <c r="L872" s="371" t="s">
        <v>146</v>
      </c>
      <c r="M872" s="372" t="s">
        <v>751</v>
      </c>
      <c r="N872" s="373" t="s">
        <v>2488</v>
      </c>
      <c r="O872" s="374" t="s">
        <v>2489</v>
      </c>
      <c r="P872" s="374" t="s">
        <v>754</v>
      </c>
    </row>
    <row r="873" spans="1:16" ht="12.75">
      <c r="A873">
        <v>866</v>
      </c>
      <c r="B873" s="557" t="s">
        <v>4199</v>
      </c>
      <c r="C873" t="s">
        <v>5207</v>
      </c>
      <c r="D873" s="107" t="s">
        <v>2439</v>
      </c>
      <c r="E873">
        <v>78958</v>
      </c>
      <c r="F873" s="556">
        <v>30</v>
      </c>
      <c r="G873" s="541">
        <v>0.38</v>
      </c>
      <c r="H873" s="560">
        <v>0</v>
      </c>
      <c r="I873" s="107">
        <v>3</v>
      </c>
      <c r="K873" s="370">
        <v>3398</v>
      </c>
      <c r="L873" s="371" t="s">
        <v>2490</v>
      </c>
      <c r="M873" s="372" t="s">
        <v>751</v>
      </c>
      <c r="N873" s="373" t="s">
        <v>2491</v>
      </c>
      <c r="O873" s="374" t="s">
        <v>2492</v>
      </c>
      <c r="P873" s="374" t="s">
        <v>754</v>
      </c>
    </row>
    <row r="874" spans="1:16" ht="12.75">
      <c r="A874">
        <v>867</v>
      </c>
      <c r="B874" s="557" t="s">
        <v>5208</v>
      </c>
      <c r="C874" t="s">
        <v>5209</v>
      </c>
      <c r="D874" s="107" t="s">
        <v>2522</v>
      </c>
      <c r="E874">
        <v>3</v>
      </c>
      <c r="F874" s="556">
        <v>30</v>
      </c>
      <c r="G874" s="541">
        <v>10000</v>
      </c>
      <c r="H874" s="560">
        <v>0</v>
      </c>
      <c r="I874" s="107">
        <v>1</v>
      </c>
      <c r="K874" s="370">
        <v>3399</v>
      </c>
      <c r="L874" s="371" t="s">
        <v>2493</v>
      </c>
      <c r="M874" s="372" t="s">
        <v>751</v>
      </c>
      <c r="N874" s="373" t="s">
        <v>2494</v>
      </c>
      <c r="O874" s="374" t="s">
        <v>2495</v>
      </c>
      <c r="P874" s="374" t="s">
        <v>754</v>
      </c>
    </row>
    <row r="875" spans="1:16" ht="12.75">
      <c r="A875">
        <v>868</v>
      </c>
      <c r="B875" s="557" t="s">
        <v>4028</v>
      </c>
      <c r="C875" t="s">
        <v>5210</v>
      </c>
      <c r="D875" s="107" t="s">
        <v>2522</v>
      </c>
      <c r="E875">
        <v>7</v>
      </c>
      <c r="F875" s="556">
        <v>30</v>
      </c>
      <c r="G875" s="541">
        <v>4279.4</v>
      </c>
      <c r="H875" s="560">
        <v>0</v>
      </c>
      <c r="I875" s="107">
        <v>6</v>
      </c>
      <c r="K875" s="370">
        <v>3400</v>
      </c>
      <c r="L875" s="371" t="s">
        <v>2496</v>
      </c>
      <c r="M875" s="372" t="s">
        <v>751</v>
      </c>
      <c r="N875" s="373" t="s">
        <v>2497</v>
      </c>
      <c r="O875" s="374" t="s">
        <v>2498</v>
      </c>
      <c r="P875" s="374" t="s">
        <v>754</v>
      </c>
    </row>
    <row r="876" spans="1:16" ht="12.75">
      <c r="A876">
        <v>869</v>
      </c>
      <c r="B876" s="557">
        <v>491</v>
      </c>
      <c r="C876" t="s">
        <v>5211</v>
      </c>
      <c r="D876" s="107" t="s">
        <v>2439</v>
      </c>
      <c r="E876">
        <v>169</v>
      </c>
      <c r="F876" s="556">
        <v>30</v>
      </c>
      <c r="G876" s="541">
        <v>177.06</v>
      </c>
      <c r="H876" s="560">
        <v>0</v>
      </c>
      <c r="I876" s="107">
        <v>3</v>
      </c>
      <c r="K876" s="370">
        <v>3404</v>
      </c>
      <c r="L876" s="371" t="s">
        <v>2499</v>
      </c>
      <c r="M876" s="372" t="s">
        <v>751</v>
      </c>
      <c r="N876" s="373" t="s">
        <v>2500</v>
      </c>
      <c r="O876" s="374" t="s">
        <v>2501</v>
      </c>
      <c r="P876" s="374" t="s">
        <v>754</v>
      </c>
    </row>
    <row r="877" spans="1:16" ht="12.75">
      <c r="A877">
        <v>870</v>
      </c>
      <c r="B877" s="557">
        <v>6472</v>
      </c>
      <c r="C877" t="s">
        <v>5212</v>
      </c>
      <c r="D877" s="107" t="s">
        <v>2522</v>
      </c>
      <c r="E877">
        <v>71</v>
      </c>
      <c r="F877" s="556">
        <v>30</v>
      </c>
      <c r="G877" s="541">
        <v>420.64</v>
      </c>
      <c r="H877" s="560">
        <v>0</v>
      </c>
      <c r="I877" s="107">
        <v>9</v>
      </c>
      <c r="K877" s="370">
        <v>3411</v>
      </c>
      <c r="L877" s="371" t="s">
        <v>2502</v>
      </c>
      <c r="M877" s="372" t="s">
        <v>751</v>
      </c>
      <c r="N877" s="373" t="s">
        <v>2503</v>
      </c>
      <c r="O877" s="374" t="s">
        <v>2504</v>
      </c>
      <c r="P877" s="374" t="s">
        <v>754</v>
      </c>
    </row>
    <row r="878" spans="1:16" ht="12.75">
      <c r="A878">
        <v>871</v>
      </c>
      <c r="B878" s="557">
        <v>2719</v>
      </c>
      <c r="C878" t="s">
        <v>5213</v>
      </c>
      <c r="D878" s="107" t="s">
        <v>1772</v>
      </c>
      <c r="E878">
        <v>141</v>
      </c>
      <c r="F878" s="556">
        <v>30</v>
      </c>
      <c r="G878" s="541">
        <v>209.88</v>
      </c>
      <c r="H878" s="560">
        <v>0</v>
      </c>
      <c r="I878" s="107">
        <v>3</v>
      </c>
      <c r="K878" s="370">
        <v>3420</v>
      </c>
      <c r="L878" s="371" t="s">
        <v>2505</v>
      </c>
      <c r="M878" s="372" t="s">
        <v>751</v>
      </c>
      <c r="N878" s="373" t="s">
        <v>2506</v>
      </c>
      <c r="O878" s="374" t="s">
        <v>2505</v>
      </c>
      <c r="P878" s="374" t="s">
        <v>754</v>
      </c>
    </row>
    <row r="879" spans="1:16" ht="12.75">
      <c r="A879">
        <v>872</v>
      </c>
      <c r="B879" s="557">
        <v>6563</v>
      </c>
      <c r="C879" t="s">
        <v>5214</v>
      </c>
      <c r="D879" s="107" t="s">
        <v>2439</v>
      </c>
      <c r="E879">
        <v>2752</v>
      </c>
      <c r="F879" s="556">
        <v>30</v>
      </c>
      <c r="G879" s="541">
        <v>10.74</v>
      </c>
      <c r="H879" s="560">
        <v>0</v>
      </c>
      <c r="I879" s="107">
        <v>28</v>
      </c>
      <c r="K879" s="370">
        <v>3421</v>
      </c>
      <c r="L879" s="371" t="s">
        <v>2507</v>
      </c>
      <c r="M879" s="372" t="s">
        <v>751</v>
      </c>
      <c r="N879" s="373" t="s">
        <v>2508</v>
      </c>
      <c r="O879" s="374" t="s">
        <v>2507</v>
      </c>
      <c r="P879" s="374" t="s">
        <v>754</v>
      </c>
    </row>
    <row r="880" spans="1:14" ht="12.75">
      <c r="A880">
        <v>873</v>
      </c>
      <c r="B880" s="557">
        <v>15074</v>
      </c>
      <c r="C880" t="s">
        <v>5215</v>
      </c>
      <c r="D880" s="107" t="s">
        <v>2522</v>
      </c>
      <c r="E880">
        <v>7</v>
      </c>
      <c r="F880" s="556">
        <v>30</v>
      </c>
      <c r="G880" s="541">
        <v>4218.29</v>
      </c>
      <c r="H880" s="560">
        <v>0</v>
      </c>
      <c r="I880" s="107">
        <v>2</v>
      </c>
      <c r="K880" s="370">
        <v>3422</v>
      </c>
      <c r="L880" s="371" t="s">
        <v>2509</v>
      </c>
      <c r="M880" s="372" t="s">
        <v>2819</v>
      </c>
      <c r="N880" s="373"/>
    </row>
    <row r="881" spans="1:14" ht="12.75">
      <c r="A881">
        <v>874</v>
      </c>
      <c r="B881" s="557">
        <v>14038</v>
      </c>
      <c r="C881" t="s">
        <v>5216</v>
      </c>
      <c r="D881" s="107" t="s">
        <v>2439</v>
      </c>
      <c r="E881">
        <v>233</v>
      </c>
      <c r="F881" s="556">
        <v>29</v>
      </c>
      <c r="G881" s="541">
        <v>126.27</v>
      </c>
      <c r="H881" s="560">
        <v>0</v>
      </c>
      <c r="I881" s="107">
        <v>2</v>
      </c>
      <c r="K881" s="370">
        <v>3423</v>
      </c>
      <c r="L881" s="371" t="s">
        <v>2510</v>
      </c>
      <c r="M881" s="372" t="s">
        <v>2821</v>
      </c>
      <c r="N881" s="373"/>
    </row>
    <row r="882" spans="1:14" ht="12.75">
      <c r="A882">
        <v>875</v>
      </c>
      <c r="B882" s="557">
        <v>40087</v>
      </c>
      <c r="C882" t="s">
        <v>5217</v>
      </c>
      <c r="D882" s="107" t="s">
        <v>2439</v>
      </c>
      <c r="E882">
        <v>15400</v>
      </c>
      <c r="F882" s="556">
        <v>29</v>
      </c>
      <c r="G882" s="541">
        <v>1.9</v>
      </c>
      <c r="H882" s="560">
        <v>0</v>
      </c>
      <c r="I882" s="107">
        <v>1</v>
      </c>
      <c r="K882" s="370">
        <v>3425</v>
      </c>
      <c r="L882" s="371" t="s">
        <v>2511</v>
      </c>
      <c r="M882" s="372" t="s">
        <v>2821</v>
      </c>
      <c r="N882" s="373"/>
    </row>
    <row r="883" spans="1:14" ht="12.75">
      <c r="A883">
        <v>876</v>
      </c>
      <c r="B883" s="557" t="s">
        <v>4292</v>
      </c>
      <c r="C883" t="s">
        <v>5218</v>
      </c>
      <c r="D883" s="107" t="s">
        <v>2439</v>
      </c>
      <c r="E883">
        <v>52</v>
      </c>
      <c r="F883" s="556">
        <v>29</v>
      </c>
      <c r="G883" s="541">
        <v>561.57</v>
      </c>
      <c r="H883" s="560">
        <v>0</v>
      </c>
      <c r="I883" s="107">
        <v>1</v>
      </c>
      <c r="K883" s="370">
        <v>3426</v>
      </c>
      <c r="L883" s="371" t="s">
        <v>2512</v>
      </c>
      <c r="M883" s="372" t="s">
        <v>2821</v>
      </c>
      <c r="N883" s="373"/>
    </row>
    <row r="884" spans="1:14" ht="12.75">
      <c r="A884">
        <v>877</v>
      </c>
      <c r="B884" s="557" t="s">
        <v>3212</v>
      </c>
      <c r="C884" t="s">
        <v>5219</v>
      </c>
      <c r="D884" s="107" t="s">
        <v>2439</v>
      </c>
      <c r="E884">
        <v>1157</v>
      </c>
      <c r="F884" s="556">
        <v>29</v>
      </c>
      <c r="G884" s="541">
        <v>25.24</v>
      </c>
      <c r="H884" s="560">
        <v>0</v>
      </c>
      <c r="I884" s="107">
        <v>3</v>
      </c>
      <c r="K884" s="370">
        <v>3427</v>
      </c>
      <c r="L884" s="371" t="s">
        <v>2513</v>
      </c>
      <c r="M884" s="372" t="s">
        <v>2821</v>
      </c>
      <c r="N884" s="373"/>
    </row>
    <row r="885" spans="1:14" ht="12.75">
      <c r="A885">
        <v>878</v>
      </c>
      <c r="B885" s="557">
        <v>6573</v>
      </c>
      <c r="C885" t="s">
        <v>5220</v>
      </c>
      <c r="D885" s="107" t="s">
        <v>2522</v>
      </c>
      <c r="E885">
        <v>237</v>
      </c>
      <c r="F885" s="556">
        <v>29</v>
      </c>
      <c r="G885" s="541">
        <v>122.08</v>
      </c>
      <c r="H885" s="560">
        <v>0</v>
      </c>
      <c r="I885" s="107">
        <v>54</v>
      </c>
      <c r="K885" s="370">
        <v>3429</v>
      </c>
      <c r="L885" s="371" t="s">
        <v>2514</v>
      </c>
      <c r="M885" s="372" t="s">
        <v>751</v>
      </c>
      <c r="N885" s="373"/>
    </row>
    <row r="886" spans="1:14" ht="12.75">
      <c r="A886">
        <v>879</v>
      </c>
      <c r="B886" s="557" t="s">
        <v>5221</v>
      </c>
      <c r="C886" t="s">
        <v>5222</v>
      </c>
      <c r="D886" s="107" t="s">
        <v>1773</v>
      </c>
      <c r="E886">
        <v>41</v>
      </c>
      <c r="F886" s="556">
        <v>29</v>
      </c>
      <c r="G886" s="541">
        <v>700</v>
      </c>
      <c r="H886" s="560">
        <v>0</v>
      </c>
      <c r="I886" s="107">
        <v>1</v>
      </c>
      <c r="K886" s="370">
        <v>3430</v>
      </c>
      <c r="L886" s="371" t="s">
        <v>2515</v>
      </c>
      <c r="M886" s="372" t="s">
        <v>2821</v>
      </c>
      <c r="N886" s="375"/>
    </row>
    <row r="887" spans="1:14" ht="12.75">
      <c r="A887">
        <v>880</v>
      </c>
      <c r="B887" s="557">
        <v>2469</v>
      </c>
      <c r="C887" t="s">
        <v>5223</v>
      </c>
      <c r="D887" s="107" t="s">
        <v>2522</v>
      </c>
      <c r="E887">
        <v>11</v>
      </c>
      <c r="F887" s="556">
        <v>29</v>
      </c>
      <c r="G887" s="541">
        <v>2594.07</v>
      </c>
      <c r="H887" s="560">
        <v>0</v>
      </c>
      <c r="I887" s="107">
        <v>3</v>
      </c>
      <c r="K887" s="370">
        <v>3431</v>
      </c>
      <c r="L887" s="371" t="s">
        <v>2516</v>
      </c>
      <c r="M887" s="372" t="s">
        <v>2821</v>
      </c>
      <c r="N887" s="373"/>
    </row>
    <row r="888" spans="1:14" ht="12.75">
      <c r="A888">
        <v>881</v>
      </c>
      <c r="B888" s="557">
        <v>1904</v>
      </c>
      <c r="C888" t="s">
        <v>5224</v>
      </c>
      <c r="D888" s="107" t="s">
        <v>2439</v>
      </c>
      <c r="E888">
        <v>3277</v>
      </c>
      <c r="F888" s="556">
        <v>28</v>
      </c>
      <c r="G888" s="541">
        <v>8.67</v>
      </c>
      <c r="H888" s="560">
        <v>0</v>
      </c>
      <c r="I888" s="107">
        <v>6</v>
      </c>
      <c r="K888" s="370">
        <v>3432</v>
      </c>
      <c r="L888" s="371" t="s">
        <v>2517</v>
      </c>
      <c r="M888" s="372" t="s">
        <v>2821</v>
      </c>
      <c r="N888" s="373"/>
    </row>
    <row r="889" spans="1:14" ht="12.75">
      <c r="A889">
        <v>882</v>
      </c>
      <c r="B889" s="557">
        <v>14566</v>
      </c>
      <c r="C889" t="s">
        <v>5225</v>
      </c>
      <c r="D889" s="107" t="s">
        <v>2522</v>
      </c>
      <c r="E889">
        <v>11</v>
      </c>
      <c r="F889" s="556">
        <v>28</v>
      </c>
      <c r="G889" s="541">
        <v>2575</v>
      </c>
      <c r="H889" s="560">
        <v>0</v>
      </c>
      <c r="I889" s="107">
        <v>1</v>
      </c>
      <c r="K889" s="370">
        <v>3433</v>
      </c>
      <c r="L889" s="371" t="s">
        <v>2518</v>
      </c>
      <c r="M889" s="372" t="s">
        <v>2821</v>
      </c>
      <c r="N889" s="373"/>
    </row>
    <row r="890" spans="1:14" ht="12.75">
      <c r="A890">
        <v>883</v>
      </c>
      <c r="B890" s="557">
        <v>1396</v>
      </c>
      <c r="C890" t="s">
        <v>5226</v>
      </c>
      <c r="D890" s="107" t="s">
        <v>2522</v>
      </c>
      <c r="E890">
        <v>3</v>
      </c>
      <c r="F890" s="556">
        <v>28</v>
      </c>
      <c r="G890" s="541">
        <v>9375.71</v>
      </c>
      <c r="H890" s="560">
        <v>0</v>
      </c>
      <c r="I890" s="107">
        <v>2</v>
      </c>
      <c r="K890" s="370">
        <v>3434</v>
      </c>
      <c r="L890" s="371" t="s">
        <v>2519</v>
      </c>
      <c r="M890" s="372" t="s">
        <v>2821</v>
      </c>
      <c r="N890" s="373"/>
    </row>
    <row r="891" spans="1:14" ht="12.75">
      <c r="A891">
        <v>884</v>
      </c>
      <c r="B891" s="557">
        <v>2695</v>
      </c>
      <c r="C891" t="s">
        <v>5227</v>
      </c>
      <c r="D891" s="107" t="s">
        <v>2439</v>
      </c>
      <c r="E891">
        <v>1066</v>
      </c>
      <c r="F891" s="556">
        <v>28</v>
      </c>
      <c r="G891" s="541">
        <v>26</v>
      </c>
      <c r="H891" s="560">
        <v>0</v>
      </c>
      <c r="I891" s="107">
        <v>1</v>
      </c>
      <c r="K891" s="370">
        <v>3435</v>
      </c>
      <c r="L891" s="371" t="s">
        <v>2520</v>
      </c>
      <c r="M891" s="372" t="s">
        <v>2819</v>
      </c>
      <c r="N891" s="373"/>
    </row>
    <row r="892" spans="1:14" ht="12.75">
      <c r="A892">
        <v>885</v>
      </c>
      <c r="B892" s="557" t="s">
        <v>5228</v>
      </c>
      <c r="C892" t="s">
        <v>5229</v>
      </c>
      <c r="D892" s="107" t="s">
        <v>2439</v>
      </c>
      <c r="E892">
        <v>13795</v>
      </c>
      <c r="F892" s="556">
        <v>28</v>
      </c>
      <c r="G892" s="541">
        <v>2</v>
      </c>
      <c r="H892" s="560">
        <v>0</v>
      </c>
      <c r="I892" s="107">
        <v>1</v>
      </c>
      <c r="K892" s="370">
        <v>3436</v>
      </c>
      <c r="L892" s="371" t="s">
        <v>2715</v>
      </c>
      <c r="M892" s="372" t="s">
        <v>2821</v>
      </c>
      <c r="N892" s="373"/>
    </row>
    <row r="893" spans="1:14" ht="12.75">
      <c r="A893">
        <v>886</v>
      </c>
      <c r="B893" s="557">
        <v>1919</v>
      </c>
      <c r="C893" t="s">
        <v>5230</v>
      </c>
      <c r="D893" s="107" t="s">
        <v>1772</v>
      </c>
      <c r="E893">
        <v>90</v>
      </c>
      <c r="F893" s="556">
        <v>28</v>
      </c>
      <c r="G893" s="541">
        <v>306.17</v>
      </c>
      <c r="H893" s="560">
        <v>0</v>
      </c>
      <c r="I893" s="107">
        <v>2</v>
      </c>
      <c r="K893" s="370">
        <v>3437</v>
      </c>
      <c r="L893" s="371" t="s">
        <v>2716</v>
      </c>
      <c r="M893" s="372" t="s">
        <v>2821</v>
      </c>
      <c r="N893" s="373"/>
    </row>
    <row r="894" spans="1:14" ht="12.75">
      <c r="A894">
        <v>887</v>
      </c>
      <c r="B894" s="557" t="s">
        <v>4035</v>
      </c>
      <c r="C894" t="s">
        <v>5231</v>
      </c>
      <c r="D894" s="107" t="s">
        <v>2439</v>
      </c>
      <c r="E894">
        <v>1980</v>
      </c>
      <c r="F894" s="556">
        <v>27</v>
      </c>
      <c r="G894" s="541">
        <v>13.81</v>
      </c>
      <c r="H894" s="560">
        <v>0</v>
      </c>
      <c r="I894" s="107">
        <v>8</v>
      </c>
      <c r="K894" s="370">
        <v>3438</v>
      </c>
      <c r="L894" s="371" t="s">
        <v>2717</v>
      </c>
      <c r="M894" s="372" t="s">
        <v>2821</v>
      </c>
      <c r="N894" s="373"/>
    </row>
    <row r="895" spans="1:14" ht="12.75">
      <c r="A895">
        <v>888</v>
      </c>
      <c r="B895" s="557" t="s">
        <v>5232</v>
      </c>
      <c r="C895" t="s">
        <v>5233</v>
      </c>
      <c r="D895" s="107" t="s">
        <v>1772</v>
      </c>
      <c r="E895">
        <v>624</v>
      </c>
      <c r="F895" s="556">
        <v>27</v>
      </c>
      <c r="G895" s="541">
        <v>43.81</v>
      </c>
      <c r="H895" s="560">
        <v>0</v>
      </c>
      <c r="I895" s="107">
        <v>1</v>
      </c>
      <c r="K895" s="370">
        <v>3439</v>
      </c>
      <c r="L895" s="371" t="s">
        <v>2718</v>
      </c>
      <c r="M895" s="372" t="s">
        <v>2821</v>
      </c>
      <c r="N895" s="373"/>
    </row>
    <row r="896" spans="1:16" ht="12.75">
      <c r="A896">
        <v>889</v>
      </c>
      <c r="B896" s="557">
        <v>40092</v>
      </c>
      <c r="C896" t="s">
        <v>5234</v>
      </c>
      <c r="D896" s="107" t="s">
        <v>2439</v>
      </c>
      <c r="E896">
        <v>13600</v>
      </c>
      <c r="F896" s="556">
        <v>27</v>
      </c>
      <c r="G896" s="541">
        <v>2</v>
      </c>
      <c r="H896" s="560">
        <v>0</v>
      </c>
      <c r="I896" s="107">
        <v>1</v>
      </c>
      <c r="K896" s="370">
        <v>3442</v>
      </c>
      <c r="L896" s="371" t="s">
        <v>2719</v>
      </c>
      <c r="M896" s="372" t="s">
        <v>2720</v>
      </c>
      <c r="N896" s="373" t="s">
        <v>2721</v>
      </c>
      <c r="O896" s="374" t="s">
        <v>2719</v>
      </c>
      <c r="P896" s="374" t="s">
        <v>2722</v>
      </c>
    </row>
    <row r="897" spans="1:14" ht="12.75">
      <c r="A897">
        <v>890</v>
      </c>
      <c r="B897" s="557">
        <v>1984</v>
      </c>
      <c r="C897" t="s">
        <v>5235</v>
      </c>
      <c r="D897" s="107" t="s">
        <v>2522</v>
      </c>
      <c r="E897">
        <v>1897</v>
      </c>
      <c r="F897" s="556">
        <v>27</v>
      </c>
      <c r="G897" s="541">
        <v>14.07</v>
      </c>
      <c r="H897" s="560">
        <v>0</v>
      </c>
      <c r="I897" s="107">
        <v>14</v>
      </c>
      <c r="K897" s="370">
        <v>3443</v>
      </c>
      <c r="L897" s="371" t="s">
        <v>2723</v>
      </c>
      <c r="M897" s="372" t="s">
        <v>2821</v>
      </c>
      <c r="N897" s="373"/>
    </row>
    <row r="898" spans="1:14" ht="12.75">
      <c r="A898">
        <v>891</v>
      </c>
      <c r="B898" s="557">
        <v>22</v>
      </c>
      <c r="C898" t="s">
        <v>5236</v>
      </c>
      <c r="D898" s="107" t="s">
        <v>1771</v>
      </c>
      <c r="E898">
        <v>111</v>
      </c>
      <c r="F898" s="556">
        <v>27</v>
      </c>
      <c r="G898" s="541">
        <v>239.71</v>
      </c>
      <c r="H898" s="560">
        <v>0</v>
      </c>
      <c r="I898" s="107">
        <v>1</v>
      </c>
      <c r="K898" s="370">
        <v>3444</v>
      </c>
      <c r="L898" s="371" t="s">
        <v>2724</v>
      </c>
      <c r="M898" s="372" t="s">
        <v>2821</v>
      </c>
      <c r="N898" s="373"/>
    </row>
    <row r="899" spans="1:14" ht="12.75">
      <c r="A899">
        <v>892</v>
      </c>
      <c r="B899" s="557">
        <v>15094</v>
      </c>
      <c r="C899" t="s">
        <v>5237</v>
      </c>
      <c r="D899" s="107" t="s">
        <v>2522</v>
      </c>
      <c r="E899">
        <v>19</v>
      </c>
      <c r="F899" s="556">
        <v>26</v>
      </c>
      <c r="G899" s="541">
        <v>1394.26</v>
      </c>
      <c r="H899" s="560">
        <v>0</v>
      </c>
      <c r="I899" s="107">
        <v>6</v>
      </c>
      <c r="K899" s="370">
        <v>3460</v>
      </c>
      <c r="L899" s="371" t="s">
        <v>2725</v>
      </c>
      <c r="M899" s="372" t="s">
        <v>2821</v>
      </c>
      <c r="N899" s="373"/>
    </row>
    <row r="900" spans="1:16" ht="12.75">
      <c r="A900">
        <v>893</v>
      </c>
      <c r="B900" s="557">
        <v>1499</v>
      </c>
      <c r="C900" t="s">
        <v>5238</v>
      </c>
      <c r="D900" s="107" t="s">
        <v>2522</v>
      </c>
      <c r="E900">
        <v>3</v>
      </c>
      <c r="F900" s="556">
        <v>26</v>
      </c>
      <c r="G900" s="541">
        <v>8786.86</v>
      </c>
      <c r="H900" s="560">
        <v>0</v>
      </c>
      <c r="I900" s="107">
        <v>2</v>
      </c>
      <c r="K900" s="370">
        <v>3463</v>
      </c>
      <c r="L900" s="371" t="s">
        <v>2726</v>
      </c>
      <c r="M900" s="372" t="s">
        <v>2821</v>
      </c>
      <c r="N900" s="373" t="s">
        <v>2727</v>
      </c>
      <c r="O900" s="374" t="s">
        <v>2728</v>
      </c>
      <c r="P900" s="374" t="s">
        <v>2821</v>
      </c>
    </row>
    <row r="901" spans="1:16" ht="12.75">
      <c r="A901">
        <v>894</v>
      </c>
      <c r="B901" s="557">
        <v>14107</v>
      </c>
      <c r="C901" t="s">
        <v>5239</v>
      </c>
      <c r="D901" s="107" t="s">
        <v>2522</v>
      </c>
      <c r="E901">
        <v>4</v>
      </c>
      <c r="F901" s="556">
        <v>26</v>
      </c>
      <c r="G901" s="541">
        <v>6562.5</v>
      </c>
      <c r="H901" s="560">
        <v>0</v>
      </c>
      <c r="I901" s="107">
        <v>2</v>
      </c>
      <c r="K901" s="370">
        <v>3464</v>
      </c>
      <c r="L901" s="371" t="s">
        <v>2729</v>
      </c>
      <c r="M901" s="372" t="s">
        <v>2821</v>
      </c>
      <c r="N901" s="373" t="s">
        <v>2730</v>
      </c>
      <c r="O901" s="374" t="s">
        <v>2731</v>
      </c>
      <c r="P901" s="374" t="s">
        <v>2821</v>
      </c>
    </row>
    <row r="902" spans="1:16" ht="12.75">
      <c r="A902">
        <v>895</v>
      </c>
      <c r="B902" s="557">
        <v>1370</v>
      </c>
      <c r="C902" t="s">
        <v>5240</v>
      </c>
      <c r="D902" s="107" t="s">
        <v>2522</v>
      </c>
      <c r="E902">
        <v>12</v>
      </c>
      <c r="F902" s="556">
        <v>26</v>
      </c>
      <c r="G902" s="541">
        <v>2174.8</v>
      </c>
      <c r="H902" s="560">
        <v>0</v>
      </c>
      <c r="I902" s="107">
        <v>1</v>
      </c>
      <c r="K902" s="370">
        <v>3466</v>
      </c>
      <c r="L902" s="371" t="s">
        <v>2732</v>
      </c>
      <c r="M902" s="372" t="s">
        <v>2821</v>
      </c>
      <c r="N902" s="373" t="s">
        <v>2733</v>
      </c>
      <c r="O902" s="374" t="s">
        <v>2734</v>
      </c>
      <c r="P902" s="374" t="s">
        <v>2821</v>
      </c>
    </row>
    <row r="903" spans="1:16" ht="12.75">
      <c r="A903">
        <v>896</v>
      </c>
      <c r="B903" s="557" t="s">
        <v>4185</v>
      </c>
      <c r="C903" t="s">
        <v>5241</v>
      </c>
      <c r="D903" s="107" t="s">
        <v>2439</v>
      </c>
      <c r="E903">
        <v>159</v>
      </c>
      <c r="F903" s="556">
        <v>26</v>
      </c>
      <c r="G903" s="541">
        <v>162.87</v>
      </c>
      <c r="H903" s="560">
        <v>0</v>
      </c>
      <c r="I903" s="107">
        <v>2</v>
      </c>
      <c r="K903" s="370">
        <v>3468</v>
      </c>
      <c r="L903" s="371" t="s">
        <v>2735</v>
      </c>
      <c r="M903" s="372" t="s">
        <v>2821</v>
      </c>
      <c r="N903" s="373" t="s">
        <v>2736</v>
      </c>
      <c r="O903" s="374" t="s">
        <v>2737</v>
      </c>
      <c r="P903" s="374" t="s">
        <v>2821</v>
      </c>
    </row>
    <row r="904" spans="1:16" ht="12.75">
      <c r="A904">
        <v>897</v>
      </c>
      <c r="B904" s="557">
        <v>14158</v>
      </c>
      <c r="C904" t="s">
        <v>5242</v>
      </c>
      <c r="D904" s="107" t="s">
        <v>2522</v>
      </c>
      <c r="E904">
        <v>5</v>
      </c>
      <c r="F904" s="556">
        <v>26</v>
      </c>
      <c r="G904" s="541">
        <v>5120</v>
      </c>
      <c r="H904" s="560">
        <v>0</v>
      </c>
      <c r="I904" s="107">
        <v>1</v>
      </c>
      <c r="K904" s="370">
        <v>3470</v>
      </c>
      <c r="L904" s="371" t="s">
        <v>2738</v>
      </c>
      <c r="M904" s="372" t="s">
        <v>2821</v>
      </c>
      <c r="N904" s="373" t="s">
        <v>2739</v>
      </c>
      <c r="O904" s="374" t="s">
        <v>2740</v>
      </c>
      <c r="P904" s="374" t="s">
        <v>2821</v>
      </c>
    </row>
    <row r="905" spans="1:16" ht="12.75">
      <c r="A905">
        <v>898</v>
      </c>
      <c r="B905" s="557">
        <v>1768</v>
      </c>
      <c r="C905" t="s">
        <v>5243</v>
      </c>
      <c r="D905" s="107" t="s">
        <v>2522</v>
      </c>
      <c r="E905">
        <v>1</v>
      </c>
      <c r="F905" s="556">
        <v>26</v>
      </c>
      <c r="G905" s="541">
        <v>25519.96</v>
      </c>
      <c r="H905" s="560">
        <v>0</v>
      </c>
      <c r="I905" s="107">
        <v>1</v>
      </c>
      <c r="K905" s="370">
        <v>3472</v>
      </c>
      <c r="L905" s="371" t="s">
        <v>2741</v>
      </c>
      <c r="M905" s="372" t="s">
        <v>2821</v>
      </c>
      <c r="N905" s="373" t="s">
        <v>2742</v>
      </c>
      <c r="O905" s="374" t="s">
        <v>2743</v>
      </c>
      <c r="P905" s="374" t="s">
        <v>2821</v>
      </c>
    </row>
    <row r="906" spans="1:14" ht="12.75">
      <c r="A906">
        <v>899</v>
      </c>
      <c r="B906" s="557">
        <v>8711</v>
      </c>
      <c r="C906" t="s">
        <v>5244</v>
      </c>
      <c r="D906" s="107" t="s">
        <v>2439</v>
      </c>
      <c r="E906">
        <v>174</v>
      </c>
      <c r="F906" s="556">
        <v>25</v>
      </c>
      <c r="G906" s="541">
        <v>145</v>
      </c>
      <c r="H906" s="560">
        <v>0</v>
      </c>
      <c r="I906" s="107">
        <v>1</v>
      </c>
      <c r="K906" s="370">
        <v>3479</v>
      </c>
      <c r="L906" s="371" t="s">
        <v>2744</v>
      </c>
      <c r="M906" s="372" t="s">
        <v>2821</v>
      </c>
      <c r="N906" s="373"/>
    </row>
    <row r="907" spans="1:16" ht="12.75">
      <c r="A907">
        <v>900</v>
      </c>
      <c r="B907" s="557">
        <v>15120</v>
      </c>
      <c r="C907" t="s">
        <v>5245</v>
      </c>
      <c r="D907" s="107" t="s">
        <v>2522</v>
      </c>
      <c r="E907">
        <v>13</v>
      </c>
      <c r="F907" s="556">
        <v>25</v>
      </c>
      <c r="G907" s="541">
        <v>1935.92</v>
      </c>
      <c r="H907" s="560">
        <v>0</v>
      </c>
      <c r="I907" s="107">
        <v>1</v>
      </c>
      <c r="K907" s="370">
        <v>3492</v>
      </c>
      <c r="L907" s="371" t="s">
        <v>2745</v>
      </c>
      <c r="M907" s="372" t="s">
        <v>2821</v>
      </c>
      <c r="N907" s="373" t="s">
        <v>2746</v>
      </c>
      <c r="O907" s="374" t="s">
        <v>2747</v>
      </c>
      <c r="P907" s="374" t="s">
        <v>2821</v>
      </c>
    </row>
    <row r="908" spans="1:16" ht="12.75">
      <c r="A908">
        <v>901</v>
      </c>
      <c r="B908" s="557" t="s">
        <v>5246</v>
      </c>
      <c r="C908" t="s">
        <v>5247</v>
      </c>
      <c r="D908" s="107" t="s">
        <v>2522</v>
      </c>
      <c r="E908">
        <v>1</v>
      </c>
      <c r="F908" s="556">
        <v>25</v>
      </c>
      <c r="G908" s="541">
        <v>25000</v>
      </c>
      <c r="H908" s="560">
        <v>0</v>
      </c>
      <c r="I908" s="107">
        <v>1</v>
      </c>
      <c r="K908" s="370">
        <v>3493</v>
      </c>
      <c r="L908" s="371" t="s">
        <v>2748</v>
      </c>
      <c r="M908" s="372" t="s">
        <v>2821</v>
      </c>
      <c r="N908" s="373" t="s">
        <v>2749</v>
      </c>
      <c r="O908" s="374" t="s">
        <v>2750</v>
      </c>
      <c r="P908" s="374" t="s">
        <v>2821</v>
      </c>
    </row>
    <row r="909" spans="1:16" ht="12.75">
      <c r="A909">
        <v>902</v>
      </c>
      <c r="B909" s="557">
        <v>40052</v>
      </c>
      <c r="C909" t="s">
        <v>5248</v>
      </c>
      <c r="D909" s="107" t="s">
        <v>2522</v>
      </c>
      <c r="E909">
        <v>1</v>
      </c>
      <c r="F909" s="556">
        <v>25</v>
      </c>
      <c r="G909" s="541">
        <v>25000</v>
      </c>
      <c r="H909" s="560">
        <v>0</v>
      </c>
      <c r="I909" s="107">
        <v>1</v>
      </c>
      <c r="K909" s="370">
        <v>3494</v>
      </c>
      <c r="L909" s="371" t="s">
        <v>2751</v>
      </c>
      <c r="M909" s="372" t="s">
        <v>2821</v>
      </c>
      <c r="N909" s="373" t="s">
        <v>2752</v>
      </c>
      <c r="O909" s="374" t="s">
        <v>2753</v>
      </c>
      <c r="P909" s="374" t="s">
        <v>2821</v>
      </c>
    </row>
    <row r="910" spans="1:14" ht="12.75">
      <c r="A910">
        <v>903</v>
      </c>
      <c r="B910" s="557">
        <v>40132</v>
      </c>
      <c r="C910" t="s">
        <v>5249</v>
      </c>
      <c r="D910" s="107" t="s">
        <v>2522</v>
      </c>
      <c r="E910">
        <v>1</v>
      </c>
      <c r="F910" s="556">
        <v>25</v>
      </c>
      <c r="G910" s="541">
        <v>25000</v>
      </c>
      <c r="H910" s="560">
        <v>0</v>
      </c>
      <c r="I910" s="107">
        <v>1</v>
      </c>
      <c r="K910" s="370">
        <v>3495</v>
      </c>
      <c r="L910" s="371" t="s">
        <v>2754</v>
      </c>
      <c r="M910" s="372" t="s">
        <v>2821</v>
      </c>
      <c r="N910" s="373"/>
    </row>
    <row r="911" spans="1:16" ht="12.75">
      <c r="A911">
        <v>904</v>
      </c>
      <c r="B911" s="557">
        <v>1394</v>
      </c>
      <c r="C911" t="s">
        <v>5250</v>
      </c>
      <c r="D911" s="107" t="s">
        <v>2522</v>
      </c>
      <c r="E911">
        <v>4</v>
      </c>
      <c r="F911" s="556">
        <v>25</v>
      </c>
      <c r="G911" s="541">
        <v>6141.6</v>
      </c>
      <c r="H911" s="560">
        <v>0</v>
      </c>
      <c r="I911" s="107">
        <v>2</v>
      </c>
      <c r="K911" s="370">
        <v>3496</v>
      </c>
      <c r="L911" s="371" t="s">
        <v>2755</v>
      </c>
      <c r="M911" s="372" t="s">
        <v>2821</v>
      </c>
      <c r="N911" s="373" t="s">
        <v>2756</v>
      </c>
      <c r="O911" s="374" t="s">
        <v>2757</v>
      </c>
      <c r="P911" s="374" t="s">
        <v>2821</v>
      </c>
    </row>
    <row r="912" spans="1:16" ht="12.75">
      <c r="A912">
        <v>905</v>
      </c>
      <c r="B912" s="557" t="s">
        <v>5251</v>
      </c>
      <c r="C912" t="s">
        <v>5252</v>
      </c>
      <c r="D912" s="107" t="s">
        <v>2439</v>
      </c>
      <c r="E912">
        <v>610</v>
      </c>
      <c r="F912" s="556">
        <v>24</v>
      </c>
      <c r="G912" s="541">
        <v>40</v>
      </c>
      <c r="H912" s="560">
        <v>0</v>
      </c>
      <c r="I912" s="107">
        <v>1</v>
      </c>
      <c r="K912" s="370">
        <v>3498</v>
      </c>
      <c r="L912" s="371" t="s">
        <v>2758</v>
      </c>
      <c r="M912" s="372" t="s">
        <v>2821</v>
      </c>
      <c r="N912" s="373" t="s">
        <v>2759</v>
      </c>
      <c r="O912" s="374" t="s">
        <v>2760</v>
      </c>
      <c r="P912" s="374" t="s">
        <v>2821</v>
      </c>
    </row>
    <row r="913" spans="1:16" ht="12.75">
      <c r="A913">
        <v>906</v>
      </c>
      <c r="B913" s="557">
        <v>14022</v>
      </c>
      <c r="C913" t="s">
        <v>5253</v>
      </c>
      <c r="D913" s="107" t="s">
        <v>2522</v>
      </c>
      <c r="E913">
        <v>8</v>
      </c>
      <c r="F913" s="556">
        <v>24</v>
      </c>
      <c r="G913" s="541">
        <v>3037.5</v>
      </c>
      <c r="H913" s="560">
        <v>0</v>
      </c>
      <c r="I913" s="107">
        <v>2</v>
      </c>
      <c r="K913" s="370">
        <v>3500</v>
      </c>
      <c r="L913" s="371" t="s">
        <v>2761</v>
      </c>
      <c r="M913" s="372" t="s">
        <v>2821</v>
      </c>
      <c r="N913" s="373" t="s">
        <v>2762</v>
      </c>
      <c r="O913" s="374" t="s">
        <v>2763</v>
      </c>
      <c r="P913" s="374" t="s">
        <v>2821</v>
      </c>
    </row>
    <row r="914" spans="1:16" ht="12.75">
      <c r="A914">
        <v>907</v>
      </c>
      <c r="B914" s="557" t="s">
        <v>4036</v>
      </c>
      <c r="C914" t="s">
        <v>5254</v>
      </c>
      <c r="D914" s="107" t="s">
        <v>2522</v>
      </c>
      <c r="E914">
        <v>14</v>
      </c>
      <c r="F914" s="556">
        <v>24</v>
      </c>
      <c r="G914" s="541">
        <v>1735</v>
      </c>
      <c r="H914" s="560">
        <v>0</v>
      </c>
      <c r="I914" s="107">
        <v>4</v>
      </c>
      <c r="K914" s="370">
        <v>3502</v>
      </c>
      <c r="L914" s="371" t="s">
        <v>2764</v>
      </c>
      <c r="M914" s="372" t="s">
        <v>2821</v>
      </c>
      <c r="N914" s="373" t="s">
        <v>2765</v>
      </c>
      <c r="O914" s="374" t="s">
        <v>2766</v>
      </c>
      <c r="P914" s="374" t="s">
        <v>2821</v>
      </c>
    </row>
    <row r="915" spans="1:16" ht="12.75">
      <c r="A915">
        <v>908</v>
      </c>
      <c r="B915" s="557">
        <v>14023</v>
      </c>
      <c r="C915" t="s">
        <v>5255</v>
      </c>
      <c r="D915" s="107" t="s">
        <v>2522</v>
      </c>
      <c r="E915">
        <v>4</v>
      </c>
      <c r="F915" s="556">
        <v>24</v>
      </c>
      <c r="G915" s="541">
        <v>5932.08</v>
      </c>
      <c r="H915" s="560">
        <v>0</v>
      </c>
      <c r="I915" s="107">
        <v>2</v>
      </c>
      <c r="K915" s="370">
        <v>3521</v>
      </c>
      <c r="L915" s="371" t="s">
        <v>2767</v>
      </c>
      <c r="M915" s="372" t="s">
        <v>2821</v>
      </c>
      <c r="N915" s="373" t="s">
        <v>2768</v>
      </c>
      <c r="O915" s="374" t="s">
        <v>2769</v>
      </c>
      <c r="P915" s="374" t="s">
        <v>2821</v>
      </c>
    </row>
    <row r="916" spans="1:16" ht="12.75">
      <c r="A916">
        <v>909</v>
      </c>
      <c r="B916" s="557" t="s">
        <v>5256</v>
      </c>
      <c r="C916" t="s">
        <v>5257</v>
      </c>
      <c r="D916" s="107" t="s">
        <v>2522</v>
      </c>
      <c r="E916">
        <v>1</v>
      </c>
      <c r="F916" s="556">
        <v>24</v>
      </c>
      <c r="G916" s="541">
        <v>23701.03</v>
      </c>
      <c r="H916" s="560">
        <v>0</v>
      </c>
      <c r="I916" s="107">
        <v>1</v>
      </c>
      <c r="K916" s="370">
        <v>3522</v>
      </c>
      <c r="L916" s="371" t="s">
        <v>2770</v>
      </c>
      <c r="M916" s="372" t="s">
        <v>2821</v>
      </c>
      <c r="N916" s="373" t="s">
        <v>2771</v>
      </c>
      <c r="O916" s="374" t="s">
        <v>2772</v>
      </c>
      <c r="P916" s="374" t="s">
        <v>2821</v>
      </c>
    </row>
    <row r="917" spans="1:16" ht="12.75">
      <c r="A917">
        <v>910</v>
      </c>
      <c r="B917" s="557" t="s">
        <v>5258</v>
      </c>
      <c r="C917" t="s">
        <v>5259</v>
      </c>
      <c r="D917" s="107" t="s">
        <v>2522</v>
      </c>
      <c r="E917">
        <v>1</v>
      </c>
      <c r="F917" s="556">
        <v>24</v>
      </c>
      <c r="G917" s="541">
        <v>23701.03</v>
      </c>
      <c r="H917" s="560">
        <v>0</v>
      </c>
      <c r="I917" s="107">
        <v>1</v>
      </c>
      <c r="K917" s="370">
        <v>3523</v>
      </c>
      <c r="L917" s="371" t="s">
        <v>2773</v>
      </c>
      <c r="M917" s="372" t="s">
        <v>2821</v>
      </c>
      <c r="N917" s="373" t="s">
        <v>2774</v>
      </c>
      <c r="O917" s="374" t="s">
        <v>560</v>
      </c>
      <c r="P917" s="374" t="s">
        <v>2821</v>
      </c>
    </row>
    <row r="918" spans="1:16" ht="12.75">
      <c r="A918">
        <v>911</v>
      </c>
      <c r="B918" s="557">
        <v>1718</v>
      </c>
      <c r="C918" t="s">
        <v>5260</v>
      </c>
      <c r="D918" s="107" t="s">
        <v>2522</v>
      </c>
      <c r="E918">
        <v>34</v>
      </c>
      <c r="F918" s="556">
        <v>24</v>
      </c>
      <c r="G918" s="541">
        <v>693.02</v>
      </c>
      <c r="H918" s="560">
        <v>0</v>
      </c>
      <c r="I918" s="107">
        <v>5</v>
      </c>
      <c r="K918" s="370">
        <v>3524</v>
      </c>
      <c r="L918" s="371" t="s">
        <v>561</v>
      </c>
      <c r="M918" s="372" t="s">
        <v>2821</v>
      </c>
      <c r="N918" s="373" t="s">
        <v>562</v>
      </c>
      <c r="O918" s="374" t="s">
        <v>563</v>
      </c>
      <c r="P918" s="374" t="s">
        <v>2821</v>
      </c>
    </row>
    <row r="919" spans="1:16" ht="12.75">
      <c r="A919">
        <v>912</v>
      </c>
      <c r="B919" s="557" t="s">
        <v>4324</v>
      </c>
      <c r="C919" t="s">
        <v>5261</v>
      </c>
      <c r="D919" s="107" t="s">
        <v>2522</v>
      </c>
      <c r="E919">
        <v>21</v>
      </c>
      <c r="F919" s="556">
        <v>23</v>
      </c>
      <c r="G919" s="541">
        <v>1114.62</v>
      </c>
      <c r="H919" s="560">
        <v>0</v>
      </c>
      <c r="I919" s="107">
        <v>4</v>
      </c>
      <c r="K919" s="370">
        <v>3526</v>
      </c>
      <c r="L919" s="371" t="s">
        <v>564</v>
      </c>
      <c r="M919" s="372" t="s">
        <v>2821</v>
      </c>
      <c r="N919" s="373" t="s">
        <v>565</v>
      </c>
      <c r="O919" s="374" t="s">
        <v>566</v>
      </c>
      <c r="P919" s="374" t="s">
        <v>2821</v>
      </c>
    </row>
    <row r="920" spans="1:16" ht="12.75">
      <c r="A920">
        <v>913</v>
      </c>
      <c r="B920" s="557">
        <v>1741</v>
      </c>
      <c r="C920" t="s">
        <v>4074</v>
      </c>
      <c r="D920" s="107" t="s">
        <v>2522</v>
      </c>
      <c r="E920">
        <v>68</v>
      </c>
      <c r="F920" s="556">
        <v>23</v>
      </c>
      <c r="G920" s="541">
        <v>343.55</v>
      </c>
      <c r="H920" s="560">
        <v>0</v>
      </c>
      <c r="I920" s="107">
        <v>3</v>
      </c>
      <c r="K920" s="370">
        <v>3528</v>
      </c>
      <c r="L920" s="371" t="s">
        <v>3789</v>
      </c>
      <c r="M920" s="372" t="s">
        <v>2821</v>
      </c>
      <c r="N920" s="373" t="s">
        <v>3790</v>
      </c>
      <c r="O920" s="374" t="s">
        <v>3791</v>
      </c>
      <c r="P920" s="374" t="s">
        <v>2821</v>
      </c>
    </row>
    <row r="921" spans="1:16" ht="12.75">
      <c r="A921">
        <v>914</v>
      </c>
      <c r="B921" s="557">
        <v>4723</v>
      </c>
      <c r="C921" t="s">
        <v>5262</v>
      </c>
      <c r="D921" s="107" t="s">
        <v>2522</v>
      </c>
      <c r="E921">
        <v>41</v>
      </c>
      <c r="F921" s="556">
        <v>23</v>
      </c>
      <c r="G921" s="541">
        <v>568.29</v>
      </c>
      <c r="H921" s="560">
        <v>0</v>
      </c>
      <c r="I921" s="107">
        <v>4</v>
      </c>
      <c r="K921" s="370">
        <v>3530</v>
      </c>
      <c r="L921" s="371" t="s">
        <v>3792</v>
      </c>
      <c r="M921" s="372" t="s">
        <v>2821</v>
      </c>
      <c r="N921" s="373" t="s">
        <v>3793</v>
      </c>
      <c r="O921" s="374" t="s">
        <v>3794</v>
      </c>
      <c r="P921" s="374" t="s">
        <v>2821</v>
      </c>
    </row>
    <row r="922" spans="1:16" ht="12.75">
      <c r="A922">
        <v>915</v>
      </c>
      <c r="B922" s="557">
        <v>16041</v>
      </c>
      <c r="C922" t="s">
        <v>4312</v>
      </c>
      <c r="D922" s="107" t="s">
        <v>2522</v>
      </c>
      <c r="E922">
        <v>4</v>
      </c>
      <c r="F922" s="556">
        <v>23</v>
      </c>
      <c r="G922" s="541">
        <v>5800</v>
      </c>
      <c r="H922" s="560">
        <v>0</v>
      </c>
      <c r="I922" s="107">
        <v>1</v>
      </c>
      <c r="K922" s="370">
        <v>3532</v>
      </c>
      <c r="L922" s="371" t="s">
        <v>3795</v>
      </c>
      <c r="M922" s="372" t="s">
        <v>2821</v>
      </c>
      <c r="N922" s="373" t="s">
        <v>3796</v>
      </c>
      <c r="O922" s="374" t="s">
        <v>3797</v>
      </c>
      <c r="P922" s="374" t="s">
        <v>2821</v>
      </c>
    </row>
    <row r="923" spans="1:16" ht="12.75">
      <c r="A923">
        <v>916</v>
      </c>
      <c r="B923" s="557">
        <v>14000</v>
      </c>
      <c r="C923" t="s">
        <v>5263</v>
      </c>
      <c r="D923" s="107" t="s">
        <v>2522</v>
      </c>
      <c r="E923">
        <v>5</v>
      </c>
      <c r="F923" s="556">
        <v>23</v>
      </c>
      <c r="G923" s="541">
        <v>4613.6</v>
      </c>
      <c r="H923" s="560">
        <v>0</v>
      </c>
      <c r="I923" s="107">
        <v>2</v>
      </c>
      <c r="K923" s="370">
        <v>3536</v>
      </c>
      <c r="L923" s="371" t="s">
        <v>3798</v>
      </c>
      <c r="M923" s="372" t="s">
        <v>2821</v>
      </c>
      <c r="N923" s="373" t="s">
        <v>3799</v>
      </c>
      <c r="O923" s="374" t="s">
        <v>3800</v>
      </c>
      <c r="P923" s="374" t="s">
        <v>2821</v>
      </c>
    </row>
    <row r="924" spans="1:16" ht="12.75">
      <c r="A924">
        <v>917</v>
      </c>
      <c r="B924" s="557" t="s">
        <v>5264</v>
      </c>
      <c r="C924" t="s">
        <v>5265</v>
      </c>
      <c r="D924" s="107" t="s">
        <v>2522</v>
      </c>
      <c r="E924">
        <v>1</v>
      </c>
      <c r="F924" s="556">
        <v>23</v>
      </c>
      <c r="G924" s="541">
        <v>22850</v>
      </c>
      <c r="H924" s="560">
        <v>0</v>
      </c>
      <c r="I924" s="107">
        <v>1</v>
      </c>
      <c r="K924" s="370">
        <v>3537</v>
      </c>
      <c r="L924" s="371" t="s">
        <v>3801</v>
      </c>
      <c r="M924" s="372" t="s">
        <v>2821</v>
      </c>
      <c r="N924" s="373" t="s">
        <v>3802</v>
      </c>
      <c r="O924" s="374" t="s">
        <v>3803</v>
      </c>
      <c r="P924" s="374" t="s">
        <v>2821</v>
      </c>
    </row>
    <row r="925" spans="1:16" ht="12.75">
      <c r="A925">
        <v>918</v>
      </c>
      <c r="B925" s="557">
        <v>16040</v>
      </c>
      <c r="C925" t="s">
        <v>5266</v>
      </c>
      <c r="D925" s="107" t="s">
        <v>2522</v>
      </c>
      <c r="E925">
        <v>20</v>
      </c>
      <c r="F925" s="556">
        <v>23</v>
      </c>
      <c r="G925" s="541">
        <v>1132.5</v>
      </c>
      <c r="H925" s="560">
        <v>0</v>
      </c>
      <c r="I925" s="107">
        <v>1</v>
      </c>
      <c r="K925" s="370">
        <v>3538</v>
      </c>
      <c r="L925" s="371" t="s">
        <v>3804</v>
      </c>
      <c r="M925" s="372" t="s">
        <v>2821</v>
      </c>
      <c r="N925" s="373" t="s">
        <v>3805</v>
      </c>
      <c r="O925" s="374" t="s">
        <v>3806</v>
      </c>
      <c r="P925" s="374" t="s">
        <v>2821</v>
      </c>
    </row>
    <row r="926" spans="1:16" ht="12.75">
      <c r="A926">
        <v>919</v>
      </c>
      <c r="B926" s="557">
        <v>1895</v>
      </c>
      <c r="C926" t="s">
        <v>5267</v>
      </c>
      <c r="D926" s="107" t="s">
        <v>2439</v>
      </c>
      <c r="E926">
        <v>571</v>
      </c>
      <c r="F926" s="556">
        <v>23</v>
      </c>
      <c r="G926" s="541">
        <v>39.51</v>
      </c>
      <c r="H926" s="560">
        <v>0</v>
      </c>
      <c r="I926" s="107">
        <v>1</v>
      </c>
      <c r="K926" s="370">
        <v>3539</v>
      </c>
      <c r="L926" s="371" t="s">
        <v>3807</v>
      </c>
      <c r="M926" s="372" t="s">
        <v>2821</v>
      </c>
      <c r="N926" s="373" t="s">
        <v>3808</v>
      </c>
      <c r="O926" s="374" t="s">
        <v>3809</v>
      </c>
      <c r="P926" s="374" t="s">
        <v>2821</v>
      </c>
    </row>
    <row r="927" spans="1:16" ht="12.75">
      <c r="A927">
        <v>920</v>
      </c>
      <c r="B927" s="557">
        <v>387</v>
      </c>
      <c r="C927" t="s">
        <v>5268</v>
      </c>
      <c r="D927" s="107" t="s">
        <v>1771</v>
      </c>
      <c r="E927">
        <v>150</v>
      </c>
      <c r="F927" s="556">
        <v>23</v>
      </c>
      <c r="G927" s="541">
        <v>150</v>
      </c>
      <c r="H927" s="560">
        <v>0</v>
      </c>
      <c r="I927" s="107">
        <v>1</v>
      </c>
      <c r="K927" s="370">
        <v>3540</v>
      </c>
      <c r="L927" s="371" t="s">
        <v>3810</v>
      </c>
      <c r="M927" s="372" t="s">
        <v>2821</v>
      </c>
      <c r="N927" s="373" t="s">
        <v>3811</v>
      </c>
      <c r="O927" s="374" t="s">
        <v>3812</v>
      </c>
      <c r="P927" s="374" t="s">
        <v>2821</v>
      </c>
    </row>
    <row r="928" spans="1:16" ht="12.75">
      <c r="A928">
        <v>921</v>
      </c>
      <c r="B928" s="557">
        <v>980</v>
      </c>
      <c r="C928" t="s">
        <v>5269</v>
      </c>
      <c r="D928" s="107" t="s">
        <v>2439</v>
      </c>
      <c r="E928">
        <v>45</v>
      </c>
      <c r="F928" s="556">
        <v>23</v>
      </c>
      <c r="G928" s="541">
        <v>500</v>
      </c>
      <c r="H928" s="560">
        <v>0</v>
      </c>
      <c r="I928" s="107">
        <v>1</v>
      </c>
      <c r="K928" s="370">
        <v>3541</v>
      </c>
      <c r="L928" s="371" t="s">
        <v>3813</v>
      </c>
      <c r="M928" s="372" t="s">
        <v>2821</v>
      </c>
      <c r="N928" s="373" t="s">
        <v>3814</v>
      </c>
      <c r="O928" s="374" t="s">
        <v>3815</v>
      </c>
      <c r="P928" s="374" t="s">
        <v>2821</v>
      </c>
    </row>
    <row r="929" spans="1:16" ht="12.75">
      <c r="A929">
        <v>922</v>
      </c>
      <c r="B929" s="557" t="s">
        <v>5270</v>
      </c>
      <c r="C929" t="s">
        <v>5271</v>
      </c>
      <c r="D929" s="107" t="s">
        <v>2439</v>
      </c>
      <c r="E929">
        <v>154</v>
      </c>
      <c r="F929" s="556">
        <v>22</v>
      </c>
      <c r="G929" s="541">
        <v>146</v>
      </c>
      <c r="H929" s="560">
        <v>0</v>
      </c>
      <c r="I929" s="107">
        <v>1</v>
      </c>
      <c r="K929" s="370">
        <v>3542</v>
      </c>
      <c r="L929" s="371" t="s">
        <v>3816</v>
      </c>
      <c r="M929" s="372" t="s">
        <v>2821</v>
      </c>
      <c r="N929" s="373" t="s">
        <v>3817</v>
      </c>
      <c r="O929" s="374" t="s">
        <v>3818</v>
      </c>
      <c r="P929" s="374" t="s">
        <v>2821</v>
      </c>
    </row>
    <row r="930" spans="1:16" ht="12.75">
      <c r="A930">
        <v>923</v>
      </c>
      <c r="B930" s="557">
        <v>2378</v>
      </c>
      <c r="C930" t="s">
        <v>5272</v>
      </c>
      <c r="D930" s="107" t="s">
        <v>2522</v>
      </c>
      <c r="E930">
        <v>12</v>
      </c>
      <c r="F930" s="556">
        <v>22</v>
      </c>
      <c r="G930" s="541">
        <v>1865.52</v>
      </c>
      <c r="H930" s="560">
        <v>0</v>
      </c>
      <c r="I930" s="107">
        <v>5</v>
      </c>
      <c r="K930" s="370">
        <v>3543</v>
      </c>
      <c r="L930" s="371" t="s">
        <v>3819</v>
      </c>
      <c r="M930" s="372" t="s">
        <v>2821</v>
      </c>
      <c r="N930" s="373" t="s">
        <v>3820</v>
      </c>
      <c r="O930" s="374" t="s">
        <v>3821</v>
      </c>
      <c r="P930" s="374" t="s">
        <v>2821</v>
      </c>
    </row>
    <row r="931" spans="1:16" ht="12.75">
      <c r="A931">
        <v>924</v>
      </c>
      <c r="B931" s="557">
        <v>15049</v>
      </c>
      <c r="C931" t="s">
        <v>5273</v>
      </c>
      <c r="D931" s="107" t="s">
        <v>2439</v>
      </c>
      <c r="E931">
        <v>1005</v>
      </c>
      <c r="F931" s="556">
        <v>22</v>
      </c>
      <c r="G931" s="541">
        <v>22</v>
      </c>
      <c r="H931" s="560">
        <v>0</v>
      </c>
      <c r="I931" s="107">
        <v>1</v>
      </c>
      <c r="K931" s="370">
        <v>3544</v>
      </c>
      <c r="L931" s="371" t="s">
        <v>3822</v>
      </c>
      <c r="M931" s="372" t="s">
        <v>2821</v>
      </c>
      <c r="N931" s="373" t="s">
        <v>3823</v>
      </c>
      <c r="O931" s="374" t="s">
        <v>3824</v>
      </c>
      <c r="P931" s="374" t="s">
        <v>2821</v>
      </c>
    </row>
    <row r="932" spans="1:16" ht="12.75">
      <c r="A932">
        <v>925</v>
      </c>
      <c r="B932" s="557">
        <v>1614</v>
      </c>
      <c r="C932" t="s">
        <v>5274</v>
      </c>
      <c r="D932" s="107" t="s">
        <v>2522</v>
      </c>
      <c r="E932">
        <v>2</v>
      </c>
      <c r="F932" s="556">
        <v>22</v>
      </c>
      <c r="G932" s="541">
        <v>11000</v>
      </c>
      <c r="H932" s="560">
        <v>0</v>
      </c>
      <c r="I932" s="107">
        <v>1</v>
      </c>
      <c r="K932" s="370">
        <v>3545</v>
      </c>
      <c r="L932" s="371" t="s">
        <v>3825</v>
      </c>
      <c r="M932" s="372" t="s">
        <v>2821</v>
      </c>
      <c r="N932" s="373" t="s">
        <v>3826</v>
      </c>
      <c r="O932" s="374" t="s">
        <v>3827</v>
      </c>
      <c r="P932" s="374" t="s">
        <v>2821</v>
      </c>
    </row>
    <row r="933" spans="1:16" ht="12.75">
      <c r="A933">
        <v>926</v>
      </c>
      <c r="B933" s="557" t="s">
        <v>2267</v>
      </c>
      <c r="C933" t="s">
        <v>2268</v>
      </c>
      <c r="D933" s="107" t="s">
        <v>3416</v>
      </c>
      <c r="E933">
        <v>3058</v>
      </c>
      <c r="F933" s="556">
        <v>22</v>
      </c>
      <c r="G933" s="541">
        <v>7.17</v>
      </c>
      <c r="H933" s="560">
        <v>0</v>
      </c>
      <c r="I933" s="107">
        <v>24</v>
      </c>
      <c r="K933" s="370">
        <v>3546</v>
      </c>
      <c r="L933" s="371" t="s">
        <v>3828</v>
      </c>
      <c r="M933" s="372" t="s">
        <v>2821</v>
      </c>
      <c r="N933" s="373" t="s">
        <v>3829</v>
      </c>
      <c r="O933" s="374" t="s">
        <v>3830</v>
      </c>
      <c r="P933" s="374" t="s">
        <v>2821</v>
      </c>
    </row>
    <row r="934" spans="1:16" ht="12.75">
      <c r="A934">
        <v>927</v>
      </c>
      <c r="B934" s="557">
        <v>2081</v>
      </c>
      <c r="C934" t="s">
        <v>5275</v>
      </c>
      <c r="D934" s="107" t="s">
        <v>1772</v>
      </c>
      <c r="E934">
        <v>146</v>
      </c>
      <c r="F934" s="556">
        <v>22</v>
      </c>
      <c r="G934" s="541">
        <v>150.08</v>
      </c>
      <c r="H934" s="560">
        <v>0</v>
      </c>
      <c r="I934" s="107">
        <v>2</v>
      </c>
      <c r="K934" s="370">
        <v>3547</v>
      </c>
      <c r="L934" s="371" t="s">
        <v>3831</v>
      </c>
      <c r="M934" s="372" t="s">
        <v>2821</v>
      </c>
      <c r="N934" s="373" t="s">
        <v>3832</v>
      </c>
      <c r="O934" s="374" t="s">
        <v>3833</v>
      </c>
      <c r="P934" s="374" t="s">
        <v>2821</v>
      </c>
    </row>
    <row r="935" spans="1:16" ht="12.75">
      <c r="A935">
        <v>928</v>
      </c>
      <c r="B935" s="557" t="s">
        <v>5276</v>
      </c>
      <c r="C935" t="s">
        <v>5277</v>
      </c>
      <c r="D935" s="107" t="s">
        <v>2522</v>
      </c>
      <c r="E935">
        <v>7</v>
      </c>
      <c r="F935" s="556">
        <v>22</v>
      </c>
      <c r="G935" s="541">
        <v>3114.29</v>
      </c>
      <c r="H935" s="560">
        <v>0</v>
      </c>
      <c r="I935" s="107">
        <v>2</v>
      </c>
      <c r="K935" s="370">
        <v>3548</v>
      </c>
      <c r="L935" s="371" t="s">
        <v>3834</v>
      </c>
      <c r="M935" s="372" t="s">
        <v>2821</v>
      </c>
      <c r="N935" s="373" t="s">
        <v>3835</v>
      </c>
      <c r="O935" s="374" t="s">
        <v>3836</v>
      </c>
      <c r="P935" s="374" t="s">
        <v>2821</v>
      </c>
    </row>
    <row r="936" spans="1:16" ht="12.75">
      <c r="A936">
        <v>929</v>
      </c>
      <c r="B936" s="557">
        <v>1791</v>
      </c>
      <c r="C936" t="s">
        <v>5278</v>
      </c>
      <c r="D936" s="107" t="s">
        <v>2522</v>
      </c>
      <c r="E936">
        <v>26</v>
      </c>
      <c r="F936" s="556">
        <v>22</v>
      </c>
      <c r="G936" s="541">
        <v>837.46</v>
      </c>
      <c r="H936" s="560">
        <v>0</v>
      </c>
      <c r="I936" s="107">
        <v>5</v>
      </c>
      <c r="K936" s="370">
        <v>3549</v>
      </c>
      <c r="L936" s="371" t="s">
        <v>3837</v>
      </c>
      <c r="M936" s="372" t="s">
        <v>2821</v>
      </c>
      <c r="N936" s="373" t="s">
        <v>3838</v>
      </c>
      <c r="O936" s="374" t="s">
        <v>3839</v>
      </c>
      <c r="P936" s="374" t="s">
        <v>2821</v>
      </c>
    </row>
    <row r="937" spans="1:14" ht="12.75">
      <c r="A937">
        <v>930</v>
      </c>
      <c r="B937" s="557" t="s">
        <v>5279</v>
      </c>
      <c r="C937" t="s">
        <v>5280</v>
      </c>
      <c r="D937" s="107" t="s">
        <v>2522</v>
      </c>
      <c r="E937">
        <v>5</v>
      </c>
      <c r="F937" s="556">
        <v>22</v>
      </c>
      <c r="G937" s="541">
        <v>4300</v>
      </c>
      <c r="H937" s="560">
        <v>0</v>
      </c>
      <c r="I937" s="107">
        <v>2</v>
      </c>
      <c r="K937" s="370">
        <v>3550</v>
      </c>
      <c r="L937" s="371" t="s">
        <v>3840</v>
      </c>
      <c r="M937" s="372" t="s">
        <v>2821</v>
      </c>
      <c r="N937" s="373"/>
    </row>
    <row r="938" spans="1:14" ht="12.75">
      <c r="A938">
        <v>931</v>
      </c>
      <c r="B938" s="557">
        <v>14510</v>
      </c>
      <c r="C938" t="s">
        <v>5281</v>
      </c>
      <c r="D938" s="107" t="s">
        <v>2522</v>
      </c>
      <c r="E938">
        <v>2</v>
      </c>
      <c r="F938" s="556">
        <v>21</v>
      </c>
      <c r="G938" s="541">
        <v>10710</v>
      </c>
      <c r="H938" s="560">
        <v>0</v>
      </c>
      <c r="I938" s="107">
        <v>1</v>
      </c>
      <c r="K938" s="370">
        <v>3551</v>
      </c>
      <c r="L938" s="371" t="s">
        <v>3841</v>
      </c>
      <c r="M938" s="372" t="s">
        <v>2821</v>
      </c>
      <c r="N938" s="373"/>
    </row>
    <row r="939" spans="1:16" ht="12.75">
      <c r="A939">
        <v>932</v>
      </c>
      <c r="B939" s="557" t="s">
        <v>4178</v>
      </c>
      <c r="C939" t="s">
        <v>5282</v>
      </c>
      <c r="D939" s="107" t="s">
        <v>2439</v>
      </c>
      <c r="E939">
        <v>8833</v>
      </c>
      <c r="F939" s="556">
        <v>21</v>
      </c>
      <c r="G939" s="541">
        <v>2.42</v>
      </c>
      <c r="H939" s="560">
        <v>0</v>
      </c>
      <c r="I939" s="107">
        <v>2</v>
      </c>
      <c r="K939" s="370">
        <v>3552</v>
      </c>
      <c r="L939" s="371" t="s">
        <v>259</v>
      </c>
      <c r="M939" s="372" t="s">
        <v>2821</v>
      </c>
      <c r="N939" s="373" t="s">
        <v>260</v>
      </c>
      <c r="O939" s="374" t="s">
        <v>261</v>
      </c>
      <c r="P939" s="374" t="s">
        <v>2821</v>
      </c>
    </row>
    <row r="940" spans="1:16" ht="12.75">
      <c r="A940">
        <v>933</v>
      </c>
      <c r="B940" s="557">
        <v>2006</v>
      </c>
      <c r="C940" t="s">
        <v>5027</v>
      </c>
      <c r="D940" s="107" t="s">
        <v>2439</v>
      </c>
      <c r="E940">
        <v>700</v>
      </c>
      <c r="F940" s="556">
        <v>21</v>
      </c>
      <c r="G940" s="541">
        <v>30.5</v>
      </c>
      <c r="H940" s="560">
        <v>0</v>
      </c>
      <c r="I940" s="107">
        <v>1</v>
      </c>
      <c r="K940" s="370">
        <v>3553</v>
      </c>
      <c r="L940" s="371" t="s">
        <v>262</v>
      </c>
      <c r="M940" s="372" t="s">
        <v>2821</v>
      </c>
      <c r="N940" s="373" t="s">
        <v>263</v>
      </c>
      <c r="O940" s="374" t="s">
        <v>264</v>
      </c>
      <c r="P940" s="374" t="s">
        <v>2821</v>
      </c>
    </row>
    <row r="941" spans="1:16" ht="12.75">
      <c r="A941">
        <v>934</v>
      </c>
      <c r="B941" s="557" t="s">
        <v>4083</v>
      </c>
      <c r="C941" t="s">
        <v>5283</v>
      </c>
      <c r="D941" s="107" t="s">
        <v>2439</v>
      </c>
      <c r="E941">
        <v>22712</v>
      </c>
      <c r="F941" s="556">
        <v>21</v>
      </c>
      <c r="G941" s="541">
        <v>0.94</v>
      </c>
      <c r="H941" s="560">
        <v>0</v>
      </c>
      <c r="I941" s="107">
        <v>6</v>
      </c>
      <c r="K941" s="370">
        <v>3554</v>
      </c>
      <c r="L941" s="371" t="s">
        <v>265</v>
      </c>
      <c r="M941" s="372" t="s">
        <v>2821</v>
      </c>
      <c r="N941" s="373" t="s">
        <v>266</v>
      </c>
      <c r="O941" s="374" t="s">
        <v>267</v>
      </c>
      <c r="P941" s="374" t="s">
        <v>2821</v>
      </c>
    </row>
    <row r="942" spans="1:16" ht="12.75">
      <c r="A942">
        <v>935</v>
      </c>
      <c r="B942" s="557">
        <v>500</v>
      </c>
      <c r="C942" t="s">
        <v>5284</v>
      </c>
      <c r="D942" s="107" t="s">
        <v>2439</v>
      </c>
      <c r="E942">
        <v>47</v>
      </c>
      <c r="F942" s="556">
        <v>21</v>
      </c>
      <c r="G942" s="541">
        <v>452</v>
      </c>
      <c r="H942" s="560">
        <v>0</v>
      </c>
      <c r="I942" s="107">
        <v>1</v>
      </c>
      <c r="K942" s="370">
        <v>3555</v>
      </c>
      <c r="L942" s="371" t="s">
        <v>268</v>
      </c>
      <c r="M942" s="372" t="s">
        <v>2821</v>
      </c>
      <c r="N942" s="373" t="s">
        <v>269</v>
      </c>
      <c r="O942" s="374" t="s">
        <v>270</v>
      </c>
      <c r="P942" s="374" t="s">
        <v>2821</v>
      </c>
    </row>
    <row r="943" spans="1:16" ht="12.75">
      <c r="A943">
        <v>936</v>
      </c>
      <c r="B943" s="557">
        <v>14013</v>
      </c>
      <c r="C943" t="s">
        <v>5285</v>
      </c>
      <c r="D943" s="107" t="s">
        <v>2439</v>
      </c>
      <c r="E943">
        <v>240</v>
      </c>
      <c r="F943" s="556">
        <v>21</v>
      </c>
      <c r="G943" s="541">
        <v>88.36</v>
      </c>
      <c r="H943" s="560">
        <v>0</v>
      </c>
      <c r="I943" s="107">
        <v>2</v>
      </c>
      <c r="K943" s="370">
        <v>3556</v>
      </c>
      <c r="L943" s="371" t="s">
        <v>271</v>
      </c>
      <c r="M943" s="372" t="s">
        <v>2821</v>
      </c>
      <c r="N943" s="373" t="s">
        <v>272</v>
      </c>
      <c r="O943" s="374" t="s">
        <v>273</v>
      </c>
      <c r="P943" s="374" t="s">
        <v>2821</v>
      </c>
    </row>
    <row r="944" spans="1:16" ht="12.75">
      <c r="A944">
        <v>937</v>
      </c>
      <c r="B944" s="557">
        <v>1219</v>
      </c>
      <c r="C944" t="s">
        <v>4293</v>
      </c>
      <c r="D944" s="107" t="s">
        <v>2522</v>
      </c>
      <c r="E944">
        <v>2</v>
      </c>
      <c r="F944" s="556">
        <v>21</v>
      </c>
      <c r="G944" s="541">
        <v>10500</v>
      </c>
      <c r="H944" s="560">
        <v>0</v>
      </c>
      <c r="I944" s="107">
        <v>1</v>
      </c>
      <c r="K944" s="370">
        <v>3557</v>
      </c>
      <c r="L944" s="371" t="s">
        <v>274</v>
      </c>
      <c r="M944" s="372" t="s">
        <v>2821</v>
      </c>
      <c r="N944" s="373" t="s">
        <v>275</v>
      </c>
      <c r="O944" s="374" t="s">
        <v>276</v>
      </c>
      <c r="P944" s="374" t="s">
        <v>2821</v>
      </c>
    </row>
    <row r="945" spans="1:16" ht="12.75">
      <c r="A945">
        <v>938</v>
      </c>
      <c r="B945" s="557">
        <v>4730</v>
      </c>
      <c r="C945" t="s">
        <v>5286</v>
      </c>
      <c r="D945" s="107" t="s">
        <v>2522</v>
      </c>
      <c r="E945">
        <v>42</v>
      </c>
      <c r="F945" s="556">
        <v>21</v>
      </c>
      <c r="G945" s="541">
        <v>500</v>
      </c>
      <c r="H945" s="560">
        <v>0</v>
      </c>
      <c r="I945" s="107">
        <v>1</v>
      </c>
      <c r="K945" s="370">
        <v>3558</v>
      </c>
      <c r="L945" s="371" t="s">
        <v>277</v>
      </c>
      <c r="M945" s="372" t="s">
        <v>2821</v>
      </c>
      <c r="N945" s="373" t="s">
        <v>278</v>
      </c>
      <c r="O945" s="374" t="s">
        <v>279</v>
      </c>
      <c r="P945" s="374" t="s">
        <v>2821</v>
      </c>
    </row>
    <row r="946" spans="1:16" ht="12.75">
      <c r="A946">
        <v>939</v>
      </c>
      <c r="B946" s="557">
        <v>16107</v>
      </c>
      <c r="C946" t="s">
        <v>5287</v>
      </c>
      <c r="D946" s="107" t="s">
        <v>2522</v>
      </c>
      <c r="E946">
        <v>7</v>
      </c>
      <c r="F946" s="556">
        <v>21</v>
      </c>
      <c r="G946" s="541">
        <v>3000</v>
      </c>
      <c r="H946" s="560">
        <v>0</v>
      </c>
      <c r="I946" s="107">
        <v>1</v>
      </c>
      <c r="K946" s="370">
        <v>3559</v>
      </c>
      <c r="L946" s="371" t="s">
        <v>280</v>
      </c>
      <c r="M946" s="372" t="s">
        <v>2821</v>
      </c>
      <c r="N946" s="373" t="s">
        <v>281</v>
      </c>
      <c r="O946" s="374" t="s">
        <v>282</v>
      </c>
      <c r="P946" s="374" t="s">
        <v>2821</v>
      </c>
    </row>
    <row r="947" spans="1:16" ht="12.75">
      <c r="A947">
        <v>940</v>
      </c>
      <c r="B947" s="557">
        <v>40090</v>
      </c>
      <c r="C947" t="s">
        <v>5288</v>
      </c>
      <c r="D947" s="107" t="s">
        <v>2439</v>
      </c>
      <c r="E947">
        <v>12000</v>
      </c>
      <c r="F947" s="556">
        <v>21</v>
      </c>
      <c r="G947" s="541">
        <v>1.75</v>
      </c>
      <c r="H947" s="560">
        <v>0</v>
      </c>
      <c r="I947" s="107">
        <v>1</v>
      </c>
      <c r="K947" s="370">
        <v>3560</v>
      </c>
      <c r="L947" s="371" t="s">
        <v>283</v>
      </c>
      <c r="M947" s="372" t="s">
        <v>2821</v>
      </c>
      <c r="N947" s="373" t="s">
        <v>284</v>
      </c>
      <c r="O947" s="374" t="s">
        <v>285</v>
      </c>
      <c r="P947" s="374" t="s">
        <v>2821</v>
      </c>
    </row>
    <row r="948" spans="1:16" ht="12.75">
      <c r="A948">
        <v>941</v>
      </c>
      <c r="B948" s="557">
        <v>6571</v>
      </c>
      <c r="C948" t="s">
        <v>5289</v>
      </c>
      <c r="D948" s="107" t="s">
        <v>2439</v>
      </c>
      <c r="E948">
        <v>10097</v>
      </c>
      <c r="F948" s="556">
        <v>21</v>
      </c>
      <c r="G948" s="541">
        <v>2.06</v>
      </c>
      <c r="H948" s="560">
        <v>0</v>
      </c>
      <c r="I948" s="107">
        <v>6</v>
      </c>
      <c r="K948" s="370">
        <v>3561</v>
      </c>
      <c r="L948" s="371" t="s">
        <v>286</v>
      </c>
      <c r="M948" s="372" t="s">
        <v>2821</v>
      </c>
      <c r="N948" s="373" t="s">
        <v>287</v>
      </c>
      <c r="O948" s="374" t="s">
        <v>288</v>
      </c>
      <c r="P948" s="374" t="s">
        <v>2821</v>
      </c>
    </row>
    <row r="949" spans="1:16" ht="12.75">
      <c r="A949">
        <v>942</v>
      </c>
      <c r="B949" s="557">
        <v>4722</v>
      </c>
      <c r="C949" t="s">
        <v>5290</v>
      </c>
      <c r="D949" s="107" t="s">
        <v>2522</v>
      </c>
      <c r="E949">
        <v>38</v>
      </c>
      <c r="F949" s="556">
        <v>21</v>
      </c>
      <c r="G949" s="541">
        <v>544.2</v>
      </c>
      <c r="H949" s="560">
        <v>0</v>
      </c>
      <c r="I949" s="107">
        <v>4</v>
      </c>
      <c r="K949" s="370">
        <v>3562</v>
      </c>
      <c r="L949" s="371" t="s">
        <v>289</v>
      </c>
      <c r="M949" s="372" t="s">
        <v>2821</v>
      </c>
      <c r="N949" s="373" t="s">
        <v>290</v>
      </c>
      <c r="O949" s="374" t="s">
        <v>291</v>
      </c>
      <c r="P949" s="374" t="s">
        <v>2821</v>
      </c>
    </row>
    <row r="950" spans="1:16" ht="12.75">
      <c r="A950">
        <v>943</v>
      </c>
      <c r="B950" s="557">
        <v>1642</v>
      </c>
      <c r="C950" t="s">
        <v>5291</v>
      </c>
      <c r="D950" s="107" t="s">
        <v>2522</v>
      </c>
      <c r="E950">
        <v>8</v>
      </c>
      <c r="F950" s="556">
        <v>21</v>
      </c>
      <c r="G950" s="541">
        <v>2577.76</v>
      </c>
      <c r="H950" s="560">
        <v>0</v>
      </c>
      <c r="I950" s="107">
        <v>6</v>
      </c>
      <c r="K950" s="370">
        <v>3563</v>
      </c>
      <c r="L950" s="371" t="s">
        <v>292</v>
      </c>
      <c r="M950" s="372" t="s">
        <v>2821</v>
      </c>
      <c r="N950" s="373" t="s">
        <v>293</v>
      </c>
      <c r="O950" s="374" t="s">
        <v>294</v>
      </c>
      <c r="P950" s="374" t="s">
        <v>2821</v>
      </c>
    </row>
    <row r="951" spans="1:16" ht="12.75">
      <c r="A951">
        <v>944</v>
      </c>
      <c r="B951" s="557">
        <v>14117</v>
      </c>
      <c r="C951" t="s">
        <v>5292</v>
      </c>
      <c r="D951" s="107" t="s">
        <v>2522</v>
      </c>
      <c r="E951">
        <v>4</v>
      </c>
      <c r="F951" s="556">
        <v>21</v>
      </c>
      <c r="G951" s="541">
        <v>5150</v>
      </c>
      <c r="H951" s="560">
        <v>0</v>
      </c>
      <c r="I951" s="107">
        <v>2</v>
      </c>
      <c r="K951" s="370">
        <v>3564</v>
      </c>
      <c r="L951" s="371" t="s">
        <v>295</v>
      </c>
      <c r="M951" s="372" t="s">
        <v>2821</v>
      </c>
      <c r="N951" s="373" t="s">
        <v>296</v>
      </c>
      <c r="O951" s="374" t="s">
        <v>297</v>
      </c>
      <c r="P951" s="374" t="s">
        <v>2821</v>
      </c>
    </row>
    <row r="952" spans="1:16" ht="12.75">
      <c r="A952">
        <v>945</v>
      </c>
      <c r="B952" s="557">
        <v>6412</v>
      </c>
      <c r="C952" t="s">
        <v>5293</v>
      </c>
      <c r="D952" s="107" t="s">
        <v>2522</v>
      </c>
      <c r="E952">
        <v>73</v>
      </c>
      <c r="F952" s="556">
        <v>21</v>
      </c>
      <c r="G952" s="541">
        <v>280.85</v>
      </c>
      <c r="H952" s="560">
        <v>0</v>
      </c>
      <c r="I952" s="107">
        <v>10</v>
      </c>
      <c r="K952" s="370">
        <v>3565</v>
      </c>
      <c r="L952" s="371" t="s">
        <v>298</v>
      </c>
      <c r="M952" s="372" t="s">
        <v>2821</v>
      </c>
      <c r="N952" s="373" t="s">
        <v>299</v>
      </c>
      <c r="O952" s="374" t="s">
        <v>300</v>
      </c>
      <c r="P952" s="374" t="s">
        <v>2821</v>
      </c>
    </row>
    <row r="953" spans="1:16" ht="12.75">
      <c r="A953">
        <v>946</v>
      </c>
      <c r="B953" s="557" t="s">
        <v>5294</v>
      </c>
      <c r="C953" t="s">
        <v>5057</v>
      </c>
      <c r="D953" s="107" t="s">
        <v>2439</v>
      </c>
      <c r="E953">
        <v>6055</v>
      </c>
      <c r="F953" s="556">
        <v>20</v>
      </c>
      <c r="G953" s="541">
        <v>3.36</v>
      </c>
      <c r="H953" s="560">
        <v>0</v>
      </c>
      <c r="I953" s="107">
        <v>1</v>
      </c>
      <c r="K953" s="370">
        <v>3570</v>
      </c>
      <c r="L953" s="371" t="s">
        <v>301</v>
      </c>
      <c r="M953" s="372" t="s">
        <v>2821</v>
      </c>
      <c r="N953" s="373" t="s">
        <v>302</v>
      </c>
      <c r="O953" s="374" t="s">
        <v>303</v>
      </c>
      <c r="P953" s="374" t="s">
        <v>2821</v>
      </c>
    </row>
    <row r="954" spans="1:14" ht="12.75">
      <c r="A954">
        <v>947</v>
      </c>
      <c r="B954" s="557">
        <v>15090</v>
      </c>
      <c r="C954" t="s">
        <v>5295</v>
      </c>
      <c r="D954" s="107" t="s">
        <v>2522</v>
      </c>
      <c r="E954">
        <v>5</v>
      </c>
      <c r="F954" s="556">
        <v>20</v>
      </c>
      <c r="G954" s="541">
        <v>4050</v>
      </c>
      <c r="H954" s="560">
        <v>0</v>
      </c>
      <c r="I954" s="107">
        <v>1</v>
      </c>
      <c r="K954" s="370">
        <v>3571</v>
      </c>
      <c r="L954" s="371" t="s">
        <v>304</v>
      </c>
      <c r="M954" s="372" t="s">
        <v>2821</v>
      </c>
      <c r="N954" s="373"/>
    </row>
    <row r="955" spans="1:14" ht="12.75">
      <c r="A955">
        <v>948</v>
      </c>
      <c r="B955" s="557">
        <v>1444</v>
      </c>
      <c r="C955" t="s">
        <v>4116</v>
      </c>
      <c r="D955" s="107" t="s">
        <v>2522</v>
      </c>
      <c r="E955">
        <v>9</v>
      </c>
      <c r="F955" s="556">
        <v>20</v>
      </c>
      <c r="G955" s="541">
        <v>2233.33</v>
      </c>
      <c r="H955" s="560">
        <v>0</v>
      </c>
      <c r="I955" s="107">
        <v>3</v>
      </c>
      <c r="K955" s="370">
        <v>3572</v>
      </c>
      <c r="L955" s="371" t="s">
        <v>305</v>
      </c>
      <c r="M955" s="372" t="s">
        <v>2821</v>
      </c>
      <c r="N955" s="373"/>
    </row>
    <row r="956" spans="1:14" ht="12.75">
      <c r="A956">
        <v>949</v>
      </c>
      <c r="B956" s="557">
        <v>1424</v>
      </c>
      <c r="C956" t="s">
        <v>5296</v>
      </c>
      <c r="D956" s="107" t="s">
        <v>2522</v>
      </c>
      <c r="E956">
        <v>2</v>
      </c>
      <c r="F956" s="556">
        <v>20</v>
      </c>
      <c r="G956" s="541">
        <v>10000</v>
      </c>
      <c r="H956" s="560">
        <v>0</v>
      </c>
      <c r="I956" s="107">
        <v>1</v>
      </c>
      <c r="K956" s="370">
        <v>3573</v>
      </c>
      <c r="L956" s="371" t="s">
        <v>306</v>
      </c>
      <c r="M956" s="372" t="s">
        <v>2821</v>
      </c>
      <c r="N956" s="373"/>
    </row>
    <row r="957" spans="1:14" ht="12.75">
      <c r="A957">
        <v>950</v>
      </c>
      <c r="B957" s="557">
        <v>3261</v>
      </c>
      <c r="C957" t="s">
        <v>5297</v>
      </c>
      <c r="D957" s="107" t="s">
        <v>2522</v>
      </c>
      <c r="E957">
        <v>4</v>
      </c>
      <c r="F957" s="556">
        <v>20</v>
      </c>
      <c r="G957" s="541">
        <v>5000</v>
      </c>
      <c r="H957" s="560">
        <v>0</v>
      </c>
      <c r="I957" s="107">
        <v>1</v>
      </c>
      <c r="K957" s="370">
        <v>3574</v>
      </c>
      <c r="L957" s="371" t="s">
        <v>307</v>
      </c>
      <c r="M957" s="372" t="s">
        <v>2821</v>
      </c>
      <c r="N957" s="373"/>
    </row>
    <row r="958" spans="1:16" ht="12.75">
      <c r="A958">
        <v>951</v>
      </c>
      <c r="B958" s="557" t="s">
        <v>3483</v>
      </c>
      <c r="C958" t="s">
        <v>5298</v>
      </c>
      <c r="D958" s="107" t="s">
        <v>2522</v>
      </c>
      <c r="E958">
        <v>47</v>
      </c>
      <c r="F958" s="556">
        <v>20</v>
      </c>
      <c r="G958" s="541">
        <v>422.02</v>
      </c>
      <c r="H958" s="560">
        <v>0</v>
      </c>
      <c r="I958" s="107">
        <v>20</v>
      </c>
      <c r="K958" s="370">
        <v>4700</v>
      </c>
      <c r="L958" s="371" t="s">
        <v>308</v>
      </c>
      <c r="M958" s="372" t="s">
        <v>2821</v>
      </c>
      <c r="N958" s="373" t="s">
        <v>309</v>
      </c>
      <c r="O958" s="374" t="s">
        <v>310</v>
      </c>
      <c r="P958" s="374" t="s">
        <v>2821</v>
      </c>
    </row>
    <row r="959" spans="1:16" ht="12.75">
      <c r="A959">
        <v>952</v>
      </c>
      <c r="B959" s="557">
        <v>4800</v>
      </c>
      <c r="C959" t="s">
        <v>5299</v>
      </c>
      <c r="D959" s="107" t="s">
        <v>2522</v>
      </c>
      <c r="E959">
        <v>58</v>
      </c>
      <c r="F959" s="556">
        <v>20</v>
      </c>
      <c r="G959" s="541">
        <v>340.11</v>
      </c>
      <c r="H959" s="560">
        <v>0</v>
      </c>
      <c r="I959" s="107">
        <v>6</v>
      </c>
      <c r="K959" s="370">
        <v>4701</v>
      </c>
      <c r="L959" s="371" t="s">
        <v>311</v>
      </c>
      <c r="M959" s="372" t="s">
        <v>2821</v>
      </c>
      <c r="N959" s="373" t="s">
        <v>312</v>
      </c>
      <c r="O959" s="374" t="s">
        <v>313</v>
      </c>
      <c r="P959" s="374" t="s">
        <v>2821</v>
      </c>
    </row>
    <row r="960" spans="1:16" ht="12.75">
      <c r="A960">
        <v>953</v>
      </c>
      <c r="B960" s="557">
        <v>3425</v>
      </c>
      <c r="C960" t="s">
        <v>5300</v>
      </c>
      <c r="D960" s="107" t="s">
        <v>2522</v>
      </c>
      <c r="E960">
        <v>47</v>
      </c>
      <c r="F960" s="556">
        <v>20</v>
      </c>
      <c r="G960" s="541">
        <v>419.26</v>
      </c>
      <c r="H960" s="560">
        <v>0</v>
      </c>
      <c r="I960" s="107">
        <v>6</v>
      </c>
      <c r="K960" s="370">
        <v>4710</v>
      </c>
      <c r="L960" s="371" t="s">
        <v>314</v>
      </c>
      <c r="M960" s="372" t="s">
        <v>2821</v>
      </c>
      <c r="N960" s="373" t="s">
        <v>315</v>
      </c>
      <c r="O960" s="374" t="s">
        <v>316</v>
      </c>
      <c r="P960" s="374" t="s">
        <v>2821</v>
      </c>
    </row>
    <row r="961" spans="1:16" ht="12.75">
      <c r="A961">
        <v>954</v>
      </c>
      <c r="B961" s="557">
        <v>40141</v>
      </c>
      <c r="C961" t="s">
        <v>5301</v>
      </c>
      <c r="D961" s="107" t="s">
        <v>2522</v>
      </c>
      <c r="E961">
        <v>14</v>
      </c>
      <c r="F961" s="556">
        <v>20</v>
      </c>
      <c r="G961" s="541">
        <v>1400</v>
      </c>
      <c r="H961" s="560">
        <v>0</v>
      </c>
      <c r="I961" s="107">
        <v>1</v>
      </c>
      <c r="K961" s="370">
        <v>4711</v>
      </c>
      <c r="L961" s="371" t="s">
        <v>317</v>
      </c>
      <c r="M961" s="372" t="s">
        <v>2821</v>
      </c>
      <c r="N961" s="373" t="s">
        <v>318</v>
      </c>
      <c r="O961" s="374" t="s">
        <v>319</v>
      </c>
      <c r="P961" s="374" t="s">
        <v>2821</v>
      </c>
    </row>
    <row r="962" spans="1:16" ht="12.75">
      <c r="A962">
        <v>955</v>
      </c>
      <c r="B962" s="557">
        <v>6562</v>
      </c>
      <c r="C962" t="s">
        <v>5302</v>
      </c>
      <c r="D962" s="107" t="s">
        <v>2522</v>
      </c>
      <c r="E962">
        <v>128</v>
      </c>
      <c r="F962" s="556">
        <v>20</v>
      </c>
      <c r="G962" s="541">
        <v>152.55</v>
      </c>
      <c r="H962" s="560">
        <v>0</v>
      </c>
      <c r="I962" s="107">
        <v>28</v>
      </c>
      <c r="K962" s="370">
        <v>4712</v>
      </c>
      <c r="L962" s="371" t="s">
        <v>320</v>
      </c>
      <c r="M962" s="372" t="s">
        <v>2821</v>
      </c>
      <c r="N962" s="373" t="s">
        <v>321</v>
      </c>
      <c r="O962" s="374" t="s">
        <v>322</v>
      </c>
      <c r="P962" s="374" t="s">
        <v>2821</v>
      </c>
    </row>
    <row r="963" spans="1:16" ht="12.75">
      <c r="A963">
        <v>956</v>
      </c>
      <c r="B963" s="557" t="s">
        <v>5303</v>
      </c>
      <c r="C963" t="s">
        <v>5304</v>
      </c>
      <c r="D963" s="107" t="s">
        <v>2522</v>
      </c>
      <c r="E963">
        <v>3</v>
      </c>
      <c r="F963" s="556">
        <v>20</v>
      </c>
      <c r="G963" s="541">
        <v>6500</v>
      </c>
      <c r="H963" s="560">
        <v>0</v>
      </c>
      <c r="I963" s="107">
        <v>1</v>
      </c>
      <c r="K963" s="370">
        <v>4713</v>
      </c>
      <c r="L963" s="371" t="s">
        <v>323</v>
      </c>
      <c r="M963" s="372" t="s">
        <v>2821</v>
      </c>
      <c r="N963" s="373" t="s">
        <v>324</v>
      </c>
      <c r="O963" s="374" t="s">
        <v>325</v>
      </c>
      <c r="P963" s="374" t="s">
        <v>2821</v>
      </c>
    </row>
    <row r="964" spans="1:16" ht="12.75">
      <c r="A964">
        <v>957</v>
      </c>
      <c r="B964" s="557">
        <v>1022</v>
      </c>
      <c r="C964" t="s">
        <v>5305</v>
      </c>
      <c r="D964" s="107" t="s">
        <v>2522</v>
      </c>
      <c r="E964">
        <v>34</v>
      </c>
      <c r="F964" s="556">
        <v>19</v>
      </c>
      <c r="G964" s="541">
        <v>570</v>
      </c>
      <c r="H964" s="560">
        <v>0</v>
      </c>
      <c r="I964" s="107">
        <v>1</v>
      </c>
      <c r="K964" s="370">
        <v>4714</v>
      </c>
      <c r="L964" s="371" t="s">
        <v>326</v>
      </c>
      <c r="M964" s="372" t="s">
        <v>2821</v>
      </c>
      <c r="N964" s="373" t="s">
        <v>327</v>
      </c>
      <c r="O964" s="374" t="s">
        <v>328</v>
      </c>
      <c r="P964" s="374" t="s">
        <v>2821</v>
      </c>
    </row>
    <row r="965" spans="1:16" ht="12.75">
      <c r="A965">
        <v>958</v>
      </c>
      <c r="B965" s="557" t="s">
        <v>4119</v>
      </c>
      <c r="C965" t="s">
        <v>5306</v>
      </c>
      <c r="D965" s="107" t="s">
        <v>2441</v>
      </c>
      <c r="E965">
        <v>3</v>
      </c>
      <c r="F965" s="556">
        <v>19</v>
      </c>
      <c r="G965" s="541">
        <v>6449.4</v>
      </c>
      <c r="H965" s="560">
        <v>0</v>
      </c>
      <c r="I965" s="107">
        <v>3</v>
      </c>
      <c r="K965" s="370">
        <v>4720</v>
      </c>
      <c r="L965" s="371" t="s">
        <v>329</v>
      </c>
      <c r="M965" s="372" t="s">
        <v>2821</v>
      </c>
      <c r="N965" s="373" t="s">
        <v>330</v>
      </c>
      <c r="O965" s="374" t="s">
        <v>331</v>
      </c>
      <c r="P965" s="374" t="s">
        <v>2821</v>
      </c>
    </row>
    <row r="966" spans="1:16" ht="12.75">
      <c r="A966">
        <v>959</v>
      </c>
      <c r="B966" s="557">
        <v>1644</v>
      </c>
      <c r="C966" t="s">
        <v>5307</v>
      </c>
      <c r="D966" s="107" t="s">
        <v>2522</v>
      </c>
      <c r="E966">
        <v>5</v>
      </c>
      <c r="F966" s="556">
        <v>19</v>
      </c>
      <c r="G966" s="541">
        <v>3860</v>
      </c>
      <c r="H966" s="560">
        <v>0</v>
      </c>
      <c r="I966" s="107">
        <v>4</v>
      </c>
      <c r="K966" s="370">
        <v>4721</v>
      </c>
      <c r="L966" s="371" t="s">
        <v>332</v>
      </c>
      <c r="M966" s="372" t="s">
        <v>2821</v>
      </c>
      <c r="N966" s="373" t="s">
        <v>333</v>
      </c>
      <c r="O966" s="374" t="s">
        <v>334</v>
      </c>
      <c r="P966" s="374" t="s">
        <v>2821</v>
      </c>
    </row>
    <row r="967" spans="1:16" ht="12.75">
      <c r="A967">
        <v>960</v>
      </c>
      <c r="B967" s="557" t="s">
        <v>5308</v>
      </c>
      <c r="C967" t="s">
        <v>5309</v>
      </c>
      <c r="D967" s="107" t="s">
        <v>2439</v>
      </c>
      <c r="E967">
        <v>55</v>
      </c>
      <c r="F967" s="556">
        <v>19</v>
      </c>
      <c r="G967" s="541">
        <v>350</v>
      </c>
      <c r="H967" s="560">
        <v>0</v>
      </c>
      <c r="I967" s="107">
        <v>1</v>
      </c>
      <c r="K967" s="370">
        <v>4722</v>
      </c>
      <c r="L967" s="371" t="s">
        <v>335</v>
      </c>
      <c r="M967" s="372" t="s">
        <v>2821</v>
      </c>
      <c r="N967" s="373" t="s">
        <v>336</v>
      </c>
      <c r="O967" s="374" t="s">
        <v>337</v>
      </c>
      <c r="P967" s="374" t="s">
        <v>2821</v>
      </c>
    </row>
    <row r="968" spans="1:16" ht="12.75">
      <c r="A968">
        <v>961</v>
      </c>
      <c r="B968" s="557" t="s">
        <v>4025</v>
      </c>
      <c r="C968" t="s">
        <v>5310</v>
      </c>
      <c r="D968" s="107" t="s">
        <v>2439</v>
      </c>
      <c r="E968">
        <v>3371</v>
      </c>
      <c r="F968" s="556">
        <v>19</v>
      </c>
      <c r="G968" s="541">
        <v>5.7</v>
      </c>
      <c r="H968" s="560">
        <v>0</v>
      </c>
      <c r="I968" s="107">
        <v>17</v>
      </c>
      <c r="K968" s="370">
        <v>4723</v>
      </c>
      <c r="L968" s="371" t="s">
        <v>338</v>
      </c>
      <c r="M968" s="372" t="s">
        <v>2821</v>
      </c>
      <c r="N968" s="373" t="s">
        <v>339</v>
      </c>
      <c r="O968" s="374" t="s">
        <v>340</v>
      </c>
      <c r="P968" s="374" t="s">
        <v>2821</v>
      </c>
    </row>
    <row r="969" spans="1:16" ht="12.75">
      <c r="A969">
        <v>962</v>
      </c>
      <c r="B969" s="557" t="s">
        <v>4181</v>
      </c>
      <c r="C969" t="s">
        <v>5311</v>
      </c>
      <c r="D969" s="107" t="s">
        <v>2522</v>
      </c>
      <c r="E969">
        <v>8</v>
      </c>
      <c r="F969" s="556">
        <v>19</v>
      </c>
      <c r="G969" s="541">
        <v>2400</v>
      </c>
      <c r="H969" s="560">
        <v>0</v>
      </c>
      <c r="I969" s="107">
        <v>1</v>
      </c>
      <c r="K969" s="370">
        <v>4724</v>
      </c>
      <c r="L969" s="371" t="s">
        <v>341</v>
      </c>
      <c r="M969" s="372" t="s">
        <v>2821</v>
      </c>
      <c r="N969" s="373" t="s">
        <v>342</v>
      </c>
      <c r="O969" s="374" t="s">
        <v>343</v>
      </c>
      <c r="P969" s="374" t="s">
        <v>2821</v>
      </c>
    </row>
    <row r="970" spans="1:16" ht="12.75">
      <c r="A970">
        <v>963</v>
      </c>
      <c r="B970" s="557">
        <v>439</v>
      </c>
      <c r="C970" t="s">
        <v>5312</v>
      </c>
      <c r="D970" s="107" t="s">
        <v>2439</v>
      </c>
      <c r="E970">
        <v>191</v>
      </c>
      <c r="F970" s="556">
        <v>19</v>
      </c>
      <c r="G970" s="541">
        <v>100.48</v>
      </c>
      <c r="H970" s="560">
        <v>0</v>
      </c>
      <c r="I970" s="107">
        <v>4</v>
      </c>
      <c r="K970" s="370">
        <v>4725</v>
      </c>
      <c r="L970" s="371" t="s">
        <v>344</v>
      </c>
      <c r="M970" s="372" t="s">
        <v>2821</v>
      </c>
      <c r="N970" s="373" t="s">
        <v>345</v>
      </c>
      <c r="O970" s="374" t="s">
        <v>346</v>
      </c>
      <c r="P970" s="374" t="s">
        <v>2821</v>
      </c>
    </row>
    <row r="971" spans="1:14" ht="12.75">
      <c r="A971">
        <v>964</v>
      </c>
      <c r="B971" s="557" t="s">
        <v>4040</v>
      </c>
      <c r="C971" t="s">
        <v>4041</v>
      </c>
      <c r="D971" s="107" t="s">
        <v>2439</v>
      </c>
      <c r="E971">
        <v>3800</v>
      </c>
      <c r="F971" s="556">
        <v>19</v>
      </c>
      <c r="G971" s="541">
        <v>5.05</v>
      </c>
      <c r="H971" s="560">
        <v>0</v>
      </c>
      <c r="I971" s="107">
        <v>9</v>
      </c>
      <c r="K971" s="370">
        <v>4730</v>
      </c>
      <c r="L971" s="371" t="s">
        <v>347</v>
      </c>
      <c r="M971" s="372" t="s">
        <v>2821</v>
      </c>
      <c r="N971" s="373"/>
    </row>
    <row r="972" spans="1:14" ht="12.75">
      <c r="A972">
        <v>965</v>
      </c>
      <c r="B972" s="557">
        <v>14021</v>
      </c>
      <c r="C972" t="s">
        <v>5313</v>
      </c>
      <c r="D972" s="107" t="s">
        <v>2522</v>
      </c>
      <c r="E972">
        <v>16</v>
      </c>
      <c r="F972" s="556">
        <v>19</v>
      </c>
      <c r="G972" s="541">
        <v>1196.88</v>
      </c>
      <c r="H972" s="560">
        <v>0</v>
      </c>
      <c r="I972" s="107">
        <v>2</v>
      </c>
      <c r="K972" s="370">
        <v>4740</v>
      </c>
      <c r="L972" s="371" t="s">
        <v>348</v>
      </c>
      <c r="M972" s="372" t="s">
        <v>2821</v>
      </c>
      <c r="N972" s="373"/>
    </row>
    <row r="973" spans="1:14" ht="12.75">
      <c r="A973">
        <v>966</v>
      </c>
      <c r="B973" s="557">
        <v>2353</v>
      </c>
      <c r="C973" t="s">
        <v>5314</v>
      </c>
      <c r="D973" s="107" t="s">
        <v>2439</v>
      </c>
      <c r="E973">
        <v>720</v>
      </c>
      <c r="F973" s="556">
        <v>19</v>
      </c>
      <c r="G973" s="541">
        <v>26.5</v>
      </c>
      <c r="H973" s="560">
        <v>0</v>
      </c>
      <c r="I973" s="107">
        <v>1</v>
      </c>
      <c r="K973" s="370">
        <v>4741</v>
      </c>
      <c r="L973" s="371" t="s">
        <v>349</v>
      </c>
      <c r="M973" s="372" t="s">
        <v>2821</v>
      </c>
      <c r="N973" s="373"/>
    </row>
    <row r="974" spans="1:14" ht="12.75">
      <c r="A974">
        <v>967</v>
      </c>
      <c r="B974" s="557">
        <v>15059</v>
      </c>
      <c r="C974" t="s">
        <v>5315</v>
      </c>
      <c r="D974" s="107" t="s">
        <v>2439</v>
      </c>
      <c r="E974">
        <v>500</v>
      </c>
      <c r="F974" s="556">
        <v>19</v>
      </c>
      <c r="G974" s="541">
        <v>38.02</v>
      </c>
      <c r="H974" s="560">
        <v>0</v>
      </c>
      <c r="I974" s="107">
        <v>1</v>
      </c>
      <c r="K974" s="370">
        <v>4742</v>
      </c>
      <c r="L974" s="371" t="s">
        <v>350</v>
      </c>
      <c r="M974" s="372" t="s">
        <v>2821</v>
      </c>
      <c r="N974" s="373"/>
    </row>
    <row r="975" spans="1:14" ht="12.75">
      <c r="A975">
        <v>968</v>
      </c>
      <c r="B975" s="557">
        <v>8410</v>
      </c>
      <c r="C975" t="s">
        <v>2437</v>
      </c>
      <c r="D975" s="107" t="s">
        <v>2441</v>
      </c>
      <c r="E975">
        <v>1</v>
      </c>
      <c r="F975" s="556">
        <v>19</v>
      </c>
      <c r="G975" s="541">
        <v>19000</v>
      </c>
      <c r="H975" s="560">
        <v>0</v>
      </c>
      <c r="I975" s="107">
        <v>1</v>
      </c>
      <c r="K975" s="370">
        <v>4750</v>
      </c>
      <c r="L975" s="371" t="s">
        <v>1143</v>
      </c>
      <c r="M975" s="372" t="s">
        <v>2821</v>
      </c>
      <c r="N975" s="373"/>
    </row>
    <row r="976" spans="1:14" ht="12.75">
      <c r="A976">
        <v>969</v>
      </c>
      <c r="B976" s="557" t="s">
        <v>4128</v>
      </c>
      <c r="C976" t="s">
        <v>5316</v>
      </c>
      <c r="D976" s="107" t="s">
        <v>2522</v>
      </c>
      <c r="E976">
        <v>28</v>
      </c>
      <c r="F976" s="556">
        <v>19</v>
      </c>
      <c r="G976" s="541">
        <v>678.57</v>
      </c>
      <c r="H976" s="560">
        <v>0</v>
      </c>
      <c r="I976" s="107">
        <v>2</v>
      </c>
      <c r="K976" s="370">
        <v>4760</v>
      </c>
      <c r="L976" s="371" t="s">
        <v>1144</v>
      </c>
      <c r="M976" s="372" t="s">
        <v>2821</v>
      </c>
      <c r="N976" s="373"/>
    </row>
    <row r="977" spans="1:14" ht="12.75">
      <c r="A977">
        <v>970</v>
      </c>
      <c r="B977" s="557">
        <v>1443</v>
      </c>
      <c r="C977" t="s">
        <v>4150</v>
      </c>
      <c r="D977" s="107" t="s">
        <v>2522</v>
      </c>
      <c r="E977">
        <v>9</v>
      </c>
      <c r="F977" s="556">
        <v>19</v>
      </c>
      <c r="G977" s="541">
        <v>2100</v>
      </c>
      <c r="H977" s="560">
        <v>0</v>
      </c>
      <c r="I977" s="107">
        <v>1</v>
      </c>
      <c r="K977" s="370">
        <v>4761</v>
      </c>
      <c r="L977" s="371" t="s">
        <v>1145</v>
      </c>
      <c r="M977" s="372" t="s">
        <v>2821</v>
      </c>
      <c r="N977" s="373"/>
    </row>
    <row r="978" spans="1:14" ht="12.75">
      <c r="A978">
        <v>971</v>
      </c>
      <c r="B978" s="557">
        <v>2268</v>
      </c>
      <c r="C978" t="s">
        <v>5317</v>
      </c>
      <c r="D978" s="107" t="s">
        <v>2439</v>
      </c>
      <c r="E978">
        <v>211</v>
      </c>
      <c r="F978" s="556">
        <v>19</v>
      </c>
      <c r="G978" s="541">
        <v>89.1</v>
      </c>
      <c r="H978" s="560">
        <v>0</v>
      </c>
      <c r="I978" s="107">
        <v>2</v>
      </c>
      <c r="K978" s="370">
        <v>4770</v>
      </c>
      <c r="L978" s="371" t="s">
        <v>1146</v>
      </c>
      <c r="M978" s="372" t="s">
        <v>2821</v>
      </c>
      <c r="N978" s="373"/>
    </row>
    <row r="979" spans="1:14" ht="12.75">
      <c r="A979">
        <v>972</v>
      </c>
      <c r="B979" s="557">
        <v>30074</v>
      </c>
      <c r="C979" t="s">
        <v>5318</v>
      </c>
      <c r="D979" s="107" t="s">
        <v>1771</v>
      </c>
      <c r="E979">
        <v>329</v>
      </c>
      <c r="F979" s="556">
        <v>19</v>
      </c>
      <c r="G979" s="541">
        <v>56.75</v>
      </c>
      <c r="H979" s="560">
        <v>0</v>
      </c>
      <c r="I979" s="107">
        <v>1</v>
      </c>
      <c r="K979" s="370">
        <v>4771</v>
      </c>
      <c r="L979" s="371" t="s">
        <v>1147</v>
      </c>
      <c r="M979" s="372" t="s">
        <v>2821</v>
      </c>
      <c r="N979" s="373"/>
    </row>
    <row r="980" spans="1:14" ht="12.75">
      <c r="A980">
        <v>973</v>
      </c>
      <c r="B980" s="557">
        <v>40112</v>
      </c>
      <c r="C980" t="s">
        <v>5319</v>
      </c>
      <c r="D980" s="107" t="s">
        <v>2441</v>
      </c>
      <c r="E980">
        <v>1</v>
      </c>
      <c r="F980" s="556">
        <v>19</v>
      </c>
      <c r="G980" s="541">
        <v>18500</v>
      </c>
      <c r="H980" s="560">
        <v>0</v>
      </c>
      <c r="I980" s="107">
        <v>1</v>
      </c>
      <c r="K980" s="370">
        <v>4772</v>
      </c>
      <c r="L980" s="371" t="s">
        <v>1148</v>
      </c>
      <c r="M980" s="372" t="s">
        <v>2821</v>
      </c>
      <c r="N980" s="373"/>
    </row>
    <row r="981" spans="1:14" ht="12.75">
      <c r="A981">
        <v>974</v>
      </c>
      <c r="B981" s="557" t="s">
        <v>4069</v>
      </c>
      <c r="C981" t="s">
        <v>5320</v>
      </c>
      <c r="D981" s="107" t="s">
        <v>1773</v>
      </c>
      <c r="E981">
        <v>3695</v>
      </c>
      <c r="F981" s="556">
        <v>18</v>
      </c>
      <c r="G981" s="541">
        <v>5</v>
      </c>
      <c r="H981" s="560">
        <v>0</v>
      </c>
      <c r="I981" s="107">
        <v>1</v>
      </c>
      <c r="K981" s="370">
        <v>4773</v>
      </c>
      <c r="L981" s="371" t="s">
        <v>1149</v>
      </c>
      <c r="M981" s="372" t="s">
        <v>2821</v>
      </c>
      <c r="N981" s="373"/>
    </row>
    <row r="982" spans="1:14" ht="12.75">
      <c r="A982">
        <v>975</v>
      </c>
      <c r="B982" s="557" t="s">
        <v>5321</v>
      </c>
      <c r="C982" t="s">
        <v>5322</v>
      </c>
      <c r="D982" s="107" t="s">
        <v>1772</v>
      </c>
      <c r="E982">
        <v>594</v>
      </c>
      <c r="F982" s="556">
        <v>18</v>
      </c>
      <c r="G982" s="541">
        <v>31</v>
      </c>
      <c r="H982" s="560">
        <v>0</v>
      </c>
      <c r="I982" s="107">
        <v>1</v>
      </c>
      <c r="K982" s="370">
        <v>4775</v>
      </c>
      <c r="L982" s="371" t="s">
        <v>1150</v>
      </c>
      <c r="M982" s="372" t="s">
        <v>2821</v>
      </c>
      <c r="N982" s="373"/>
    </row>
    <row r="983" spans="1:14" ht="12.75">
      <c r="A983">
        <v>976</v>
      </c>
      <c r="B983" s="557">
        <v>1941</v>
      </c>
      <c r="C983" t="s">
        <v>5323</v>
      </c>
      <c r="D983" s="107" t="s">
        <v>1772</v>
      </c>
      <c r="E983">
        <v>61</v>
      </c>
      <c r="F983" s="556">
        <v>18</v>
      </c>
      <c r="G983" s="541">
        <v>300</v>
      </c>
      <c r="H983" s="560">
        <v>0</v>
      </c>
      <c r="I983" s="107">
        <v>1</v>
      </c>
      <c r="K983" s="370">
        <v>4776</v>
      </c>
      <c r="L983" s="371" t="s">
        <v>1151</v>
      </c>
      <c r="M983" s="372" t="s">
        <v>2821</v>
      </c>
      <c r="N983" s="373"/>
    </row>
    <row r="984" spans="1:14" ht="12.75">
      <c r="A984">
        <v>977</v>
      </c>
      <c r="B984" s="557">
        <v>1705</v>
      </c>
      <c r="C984" t="s">
        <v>5324</v>
      </c>
      <c r="D984" s="107" t="s">
        <v>2522</v>
      </c>
      <c r="E984">
        <v>16</v>
      </c>
      <c r="F984" s="556">
        <v>18</v>
      </c>
      <c r="G984" s="541">
        <v>1138.58</v>
      </c>
      <c r="H984" s="560">
        <v>0</v>
      </c>
      <c r="I984" s="107">
        <v>3</v>
      </c>
      <c r="K984" s="370">
        <v>4780</v>
      </c>
      <c r="L984" s="371" t="s">
        <v>1152</v>
      </c>
      <c r="M984" s="372" t="s">
        <v>2821</v>
      </c>
      <c r="N984" s="373"/>
    </row>
    <row r="985" spans="1:16" ht="12.75">
      <c r="A985">
        <v>978</v>
      </c>
      <c r="B985" s="557">
        <v>15067</v>
      </c>
      <c r="C985" t="s">
        <v>5325</v>
      </c>
      <c r="D985" s="107" t="s">
        <v>2522</v>
      </c>
      <c r="E985">
        <v>1</v>
      </c>
      <c r="F985" s="556">
        <v>18</v>
      </c>
      <c r="G985" s="541">
        <v>18150</v>
      </c>
      <c r="H985" s="560">
        <v>0</v>
      </c>
      <c r="I985" s="107">
        <v>1</v>
      </c>
      <c r="K985" s="370">
        <v>4790</v>
      </c>
      <c r="L985" s="371" t="s">
        <v>1153</v>
      </c>
      <c r="M985" s="372" t="s">
        <v>751</v>
      </c>
      <c r="N985" s="373" t="s">
        <v>1154</v>
      </c>
      <c r="O985" s="374" t="s">
        <v>1155</v>
      </c>
      <c r="P985" s="374" t="s">
        <v>754</v>
      </c>
    </row>
    <row r="986" spans="1:16" ht="12.75">
      <c r="A986">
        <v>979</v>
      </c>
      <c r="B986" s="557">
        <v>2359</v>
      </c>
      <c r="C986" t="s">
        <v>5326</v>
      </c>
      <c r="D986" s="107" t="s">
        <v>2522</v>
      </c>
      <c r="E986">
        <v>3</v>
      </c>
      <c r="F986" s="556">
        <v>18</v>
      </c>
      <c r="G986" s="541">
        <v>6022.34</v>
      </c>
      <c r="H986" s="560">
        <v>0</v>
      </c>
      <c r="I986" s="107">
        <v>1</v>
      </c>
      <c r="K986" s="370">
        <v>4791</v>
      </c>
      <c r="L986" s="371" t="s">
        <v>1156</v>
      </c>
      <c r="M986" s="372" t="s">
        <v>751</v>
      </c>
      <c r="N986" s="373" t="s">
        <v>1157</v>
      </c>
      <c r="O986" s="374" t="s">
        <v>1158</v>
      </c>
      <c r="P986" s="374" t="s">
        <v>754</v>
      </c>
    </row>
    <row r="987" spans="1:16" ht="12.75">
      <c r="A987">
        <v>980</v>
      </c>
      <c r="B987" s="557">
        <v>8107</v>
      </c>
      <c r="C987" t="s">
        <v>5327</v>
      </c>
      <c r="D987" s="107" t="s">
        <v>1773</v>
      </c>
      <c r="E987">
        <v>6</v>
      </c>
      <c r="F987" s="556">
        <v>18</v>
      </c>
      <c r="G987" s="541">
        <v>3000</v>
      </c>
      <c r="H987" s="560">
        <v>0</v>
      </c>
      <c r="I987" s="107">
        <v>1</v>
      </c>
      <c r="K987" s="370">
        <v>4792</v>
      </c>
      <c r="L987" s="371" t="s">
        <v>1159</v>
      </c>
      <c r="M987" s="372" t="s">
        <v>751</v>
      </c>
      <c r="N987" s="373" t="s">
        <v>1160</v>
      </c>
      <c r="O987" s="374" t="s">
        <v>1161</v>
      </c>
      <c r="P987" s="374" t="s">
        <v>754</v>
      </c>
    </row>
    <row r="988" spans="1:16" ht="12.75">
      <c r="A988">
        <v>981</v>
      </c>
      <c r="B988" s="557">
        <v>14573</v>
      </c>
      <c r="C988" t="s">
        <v>4337</v>
      </c>
      <c r="D988" s="107" t="s">
        <v>2522</v>
      </c>
      <c r="E988">
        <v>4</v>
      </c>
      <c r="F988" s="556">
        <v>18</v>
      </c>
      <c r="G988" s="541">
        <v>4500</v>
      </c>
      <c r="H988" s="560">
        <v>0</v>
      </c>
      <c r="I988" s="107">
        <v>1</v>
      </c>
      <c r="K988" s="370">
        <v>4793</v>
      </c>
      <c r="L988" s="371" t="s">
        <v>1162</v>
      </c>
      <c r="M988" s="372" t="s">
        <v>751</v>
      </c>
      <c r="N988" s="373" t="s">
        <v>1163</v>
      </c>
      <c r="O988" s="374" t="s">
        <v>1164</v>
      </c>
      <c r="P988" s="374" t="s">
        <v>754</v>
      </c>
    </row>
    <row r="989" spans="1:16" ht="12.75">
      <c r="A989">
        <v>982</v>
      </c>
      <c r="B989" s="557" t="s">
        <v>4114</v>
      </c>
      <c r="C989" t="s">
        <v>5328</v>
      </c>
      <c r="D989" s="107" t="s">
        <v>2522</v>
      </c>
      <c r="E989">
        <v>160</v>
      </c>
      <c r="F989" s="556">
        <v>18</v>
      </c>
      <c r="G989" s="541">
        <v>111.63</v>
      </c>
      <c r="H989" s="560">
        <v>0</v>
      </c>
      <c r="I989" s="107">
        <v>6</v>
      </c>
      <c r="K989" s="370">
        <v>4794</v>
      </c>
      <c r="L989" s="371" t="s">
        <v>1165</v>
      </c>
      <c r="M989" s="372" t="s">
        <v>751</v>
      </c>
      <c r="N989" s="373" t="s">
        <v>1166</v>
      </c>
      <c r="O989" s="374" t="s">
        <v>1167</v>
      </c>
      <c r="P989" s="374" t="s">
        <v>754</v>
      </c>
    </row>
    <row r="990" spans="1:16" ht="12.75">
      <c r="A990">
        <v>983</v>
      </c>
      <c r="B990" s="557">
        <v>17029</v>
      </c>
      <c r="C990" t="s">
        <v>5329</v>
      </c>
      <c r="D990" s="107" t="s">
        <v>2522</v>
      </c>
      <c r="E990">
        <v>2</v>
      </c>
      <c r="F990" s="556">
        <v>18</v>
      </c>
      <c r="G990" s="541">
        <v>8900</v>
      </c>
      <c r="H990" s="560">
        <v>0</v>
      </c>
      <c r="I990" s="107">
        <v>1</v>
      </c>
      <c r="K990" s="370">
        <v>4795</v>
      </c>
      <c r="L990" s="371" t="s">
        <v>1168</v>
      </c>
      <c r="M990" s="372" t="s">
        <v>751</v>
      </c>
      <c r="N990" s="373" t="s">
        <v>1169</v>
      </c>
      <c r="O990" s="374" t="s">
        <v>1170</v>
      </c>
      <c r="P990" s="374" t="s">
        <v>754</v>
      </c>
    </row>
    <row r="991" spans="1:16" ht="12.75">
      <c r="A991">
        <v>984</v>
      </c>
      <c r="B991" s="557" t="s">
        <v>4102</v>
      </c>
      <c r="C991" t="s">
        <v>5330</v>
      </c>
      <c r="D991" s="107" t="s">
        <v>1772</v>
      </c>
      <c r="E991">
        <v>119</v>
      </c>
      <c r="F991" s="556">
        <v>18</v>
      </c>
      <c r="G991" s="541">
        <v>147.94</v>
      </c>
      <c r="H991" s="560">
        <v>0</v>
      </c>
      <c r="I991" s="107">
        <v>2</v>
      </c>
      <c r="K991" s="370">
        <v>4796</v>
      </c>
      <c r="L991" s="371" t="s">
        <v>1171</v>
      </c>
      <c r="M991" s="372" t="s">
        <v>751</v>
      </c>
      <c r="N991" s="373" t="s">
        <v>1172</v>
      </c>
      <c r="O991" s="374" t="s">
        <v>1173</v>
      </c>
      <c r="P991" s="374" t="s">
        <v>754</v>
      </c>
    </row>
    <row r="992" spans="1:16" ht="12.75">
      <c r="A992">
        <v>985</v>
      </c>
      <c r="B992" s="557" t="s">
        <v>5331</v>
      </c>
      <c r="C992" t="s">
        <v>5332</v>
      </c>
      <c r="D992" s="107" t="s">
        <v>2522</v>
      </c>
      <c r="E992">
        <v>4</v>
      </c>
      <c r="F992" s="556">
        <v>18</v>
      </c>
      <c r="G992" s="541">
        <v>4387.08</v>
      </c>
      <c r="H992" s="560">
        <v>0</v>
      </c>
      <c r="I992" s="107">
        <v>1</v>
      </c>
      <c r="K992" s="370">
        <v>4797</v>
      </c>
      <c r="L992" s="371" t="s">
        <v>1045</v>
      </c>
      <c r="M992" s="372" t="s">
        <v>751</v>
      </c>
      <c r="N992" s="373" t="s">
        <v>1046</v>
      </c>
      <c r="O992" s="374" t="s">
        <v>1047</v>
      </c>
      <c r="P992" s="374" t="s">
        <v>754</v>
      </c>
    </row>
    <row r="993" spans="1:16" ht="12.75">
      <c r="A993">
        <v>986</v>
      </c>
      <c r="B993" s="557">
        <v>2475</v>
      </c>
      <c r="C993" t="s">
        <v>5333</v>
      </c>
      <c r="D993" s="107" t="s">
        <v>2522</v>
      </c>
      <c r="E993">
        <v>5</v>
      </c>
      <c r="F993" s="556">
        <v>18</v>
      </c>
      <c r="G993" s="541">
        <v>3500</v>
      </c>
      <c r="H993" s="560">
        <v>0</v>
      </c>
      <c r="I993" s="107">
        <v>3</v>
      </c>
      <c r="K993" s="370">
        <v>4798</v>
      </c>
      <c r="L993" s="371" t="s">
        <v>1048</v>
      </c>
      <c r="M993" s="372" t="s">
        <v>751</v>
      </c>
      <c r="N993" s="373" t="s">
        <v>1049</v>
      </c>
      <c r="O993" s="374" t="s">
        <v>1050</v>
      </c>
      <c r="P993" s="374" t="s">
        <v>754</v>
      </c>
    </row>
    <row r="994" spans="1:16" ht="12.75">
      <c r="A994">
        <v>987</v>
      </c>
      <c r="B994" s="557" t="s">
        <v>5334</v>
      </c>
      <c r="C994" t="s">
        <v>5335</v>
      </c>
      <c r="D994" s="107" t="s">
        <v>2439</v>
      </c>
      <c r="E994">
        <v>70</v>
      </c>
      <c r="F994" s="556">
        <v>18</v>
      </c>
      <c r="G994" s="541">
        <v>250</v>
      </c>
      <c r="H994" s="560">
        <v>0</v>
      </c>
      <c r="I994" s="107">
        <v>1</v>
      </c>
      <c r="K994" s="370">
        <v>4799</v>
      </c>
      <c r="L994" s="371" t="s">
        <v>1051</v>
      </c>
      <c r="M994" s="372" t="s">
        <v>751</v>
      </c>
      <c r="N994" s="373" t="s">
        <v>1052</v>
      </c>
      <c r="O994" s="374" t="s">
        <v>1053</v>
      </c>
      <c r="P994" s="374" t="s">
        <v>754</v>
      </c>
    </row>
    <row r="995" spans="1:14" ht="12.75">
      <c r="A995">
        <v>988</v>
      </c>
      <c r="B995" s="557">
        <v>40051</v>
      </c>
      <c r="C995" t="s">
        <v>5336</v>
      </c>
      <c r="D995" s="107" t="s">
        <v>2522</v>
      </c>
      <c r="E995">
        <v>1</v>
      </c>
      <c r="F995" s="556">
        <v>18</v>
      </c>
      <c r="G995" s="541">
        <v>17500</v>
      </c>
      <c r="H995" s="560">
        <v>0</v>
      </c>
      <c r="I995" s="107">
        <v>1</v>
      </c>
      <c r="K995" s="370">
        <v>4800</v>
      </c>
      <c r="L995" s="371" t="s">
        <v>1054</v>
      </c>
      <c r="M995" s="372" t="s">
        <v>2821</v>
      </c>
      <c r="N995" s="373"/>
    </row>
    <row r="996" spans="1:14" ht="12.75">
      <c r="A996">
        <v>989</v>
      </c>
      <c r="B996" s="557" t="s">
        <v>4045</v>
      </c>
      <c r="C996" t="s">
        <v>4046</v>
      </c>
      <c r="D996" s="107" t="s">
        <v>2522</v>
      </c>
      <c r="E996">
        <v>147</v>
      </c>
      <c r="F996" s="556">
        <v>17</v>
      </c>
      <c r="G996" s="541">
        <v>115.34</v>
      </c>
      <c r="H996" s="560">
        <v>0</v>
      </c>
      <c r="I996" s="107">
        <v>7</v>
      </c>
      <c r="K996" s="370">
        <v>4810</v>
      </c>
      <c r="L996" s="371" t="s">
        <v>1055</v>
      </c>
      <c r="M996" s="372" t="s">
        <v>2821</v>
      </c>
      <c r="N996" s="373"/>
    </row>
    <row r="997" spans="1:14" ht="12.75">
      <c r="A997">
        <v>990</v>
      </c>
      <c r="B997" s="557">
        <v>492</v>
      </c>
      <c r="C997" t="s">
        <v>5337</v>
      </c>
      <c r="D997" s="107" t="s">
        <v>2439</v>
      </c>
      <c r="E997">
        <v>60</v>
      </c>
      <c r="F997" s="556">
        <v>17</v>
      </c>
      <c r="G997" s="541">
        <v>281.5</v>
      </c>
      <c r="H997" s="560">
        <v>0</v>
      </c>
      <c r="I997" s="107">
        <v>1</v>
      </c>
      <c r="K997" s="370">
        <v>4811</v>
      </c>
      <c r="L997" s="371" t="s">
        <v>1056</v>
      </c>
      <c r="M997" s="372" t="s">
        <v>2821</v>
      </c>
      <c r="N997" s="373"/>
    </row>
    <row r="998" spans="1:16" ht="12.75">
      <c r="A998">
        <v>991</v>
      </c>
      <c r="B998" s="557">
        <v>1719</v>
      </c>
      <c r="C998" t="s">
        <v>5338</v>
      </c>
      <c r="D998" s="107" t="s">
        <v>2522</v>
      </c>
      <c r="E998">
        <v>8</v>
      </c>
      <c r="F998" s="556">
        <v>17</v>
      </c>
      <c r="G998" s="541">
        <v>2100.26</v>
      </c>
      <c r="H998" s="560">
        <v>0</v>
      </c>
      <c r="I998" s="107">
        <v>4</v>
      </c>
      <c r="K998" s="370">
        <v>4820</v>
      </c>
      <c r="L998" s="371" t="s">
        <v>1057</v>
      </c>
      <c r="M998" s="372" t="s">
        <v>751</v>
      </c>
      <c r="N998" s="373" t="s">
        <v>1058</v>
      </c>
      <c r="O998" s="374" t="s">
        <v>1057</v>
      </c>
      <c r="P998" s="374" t="s">
        <v>754</v>
      </c>
    </row>
    <row r="999" spans="1:16" ht="12.75">
      <c r="A999">
        <v>992</v>
      </c>
      <c r="B999" s="557">
        <v>40047</v>
      </c>
      <c r="C999" t="s">
        <v>4547</v>
      </c>
      <c r="D999" s="107" t="s">
        <v>1772</v>
      </c>
      <c r="E999">
        <v>1289</v>
      </c>
      <c r="F999" s="556">
        <v>17</v>
      </c>
      <c r="G999" s="541">
        <v>13.01</v>
      </c>
      <c r="H999" s="560">
        <v>0</v>
      </c>
      <c r="I999" s="107">
        <v>2</v>
      </c>
      <c r="K999" s="370">
        <v>4821</v>
      </c>
      <c r="L999" s="371" t="s">
        <v>1059</v>
      </c>
      <c r="M999" s="372" t="s">
        <v>751</v>
      </c>
      <c r="N999" s="373" t="s">
        <v>1060</v>
      </c>
      <c r="O999" s="374" t="s">
        <v>1059</v>
      </c>
      <c r="P999" s="374" t="s">
        <v>754</v>
      </c>
    </row>
    <row r="1000" spans="1:14" ht="12.75">
      <c r="A1000">
        <v>993</v>
      </c>
      <c r="B1000" s="557">
        <v>14136</v>
      </c>
      <c r="C1000" t="s">
        <v>5339</v>
      </c>
      <c r="D1000" s="107" t="s">
        <v>2522</v>
      </c>
      <c r="E1000">
        <v>2</v>
      </c>
      <c r="F1000" s="556">
        <v>17</v>
      </c>
      <c r="G1000" s="541">
        <v>8383</v>
      </c>
      <c r="H1000" s="560">
        <v>0</v>
      </c>
      <c r="I1000" s="107">
        <v>1</v>
      </c>
      <c r="K1000" s="370">
        <v>4829</v>
      </c>
      <c r="L1000" s="371" t="s">
        <v>1061</v>
      </c>
      <c r="M1000" s="372" t="s">
        <v>2821</v>
      </c>
      <c r="N1000" s="373"/>
    </row>
    <row r="1001" spans="1:16" ht="12.75">
      <c r="A1001">
        <v>994</v>
      </c>
      <c r="B1001" s="557" t="s">
        <v>4130</v>
      </c>
      <c r="C1001" t="s">
        <v>4131</v>
      </c>
      <c r="D1001" s="107" t="s">
        <v>2439</v>
      </c>
      <c r="E1001">
        <v>2164</v>
      </c>
      <c r="F1001" s="556">
        <v>17</v>
      </c>
      <c r="G1001" s="541">
        <v>7.72</v>
      </c>
      <c r="H1001" s="560">
        <v>0</v>
      </c>
      <c r="I1001" s="107">
        <v>2</v>
      </c>
      <c r="K1001" s="370">
        <v>4830</v>
      </c>
      <c r="L1001" s="371" t="s">
        <v>1062</v>
      </c>
      <c r="M1001" s="372" t="s">
        <v>751</v>
      </c>
      <c r="N1001" s="373" t="s">
        <v>1063</v>
      </c>
      <c r="O1001" s="374" t="s">
        <v>1062</v>
      </c>
      <c r="P1001" s="374" t="s">
        <v>754</v>
      </c>
    </row>
    <row r="1002" spans="1:16" ht="12.75">
      <c r="A1002">
        <v>995</v>
      </c>
      <c r="B1002" s="557">
        <v>15026</v>
      </c>
      <c r="C1002" t="s">
        <v>4257</v>
      </c>
      <c r="D1002" s="107" t="s">
        <v>2522</v>
      </c>
      <c r="E1002">
        <v>2</v>
      </c>
      <c r="F1002" s="556">
        <v>17</v>
      </c>
      <c r="G1002" s="541">
        <v>8312.5</v>
      </c>
      <c r="H1002" s="560">
        <v>0</v>
      </c>
      <c r="I1002" s="107">
        <v>2</v>
      </c>
      <c r="K1002" s="370">
        <v>4831</v>
      </c>
      <c r="L1002" s="371" t="s">
        <v>1064</v>
      </c>
      <c r="M1002" s="372" t="s">
        <v>751</v>
      </c>
      <c r="N1002" s="373" t="s">
        <v>1065</v>
      </c>
      <c r="O1002" s="374" t="s">
        <v>1064</v>
      </c>
      <c r="P1002" s="374" t="s">
        <v>754</v>
      </c>
    </row>
    <row r="1003" spans="1:16" ht="12.75">
      <c r="A1003">
        <v>996</v>
      </c>
      <c r="B1003" s="557">
        <v>1398</v>
      </c>
      <c r="C1003" t="s">
        <v>5340</v>
      </c>
      <c r="D1003" s="107" t="s">
        <v>2522</v>
      </c>
      <c r="E1003">
        <v>1</v>
      </c>
      <c r="F1003" s="556">
        <v>17</v>
      </c>
      <c r="G1003" s="541">
        <v>16500</v>
      </c>
      <c r="H1003" s="560">
        <v>0</v>
      </c>
      <c r="I1003" s="107">
        <v>1</v>
      </c>
      <c r="K1003" s="370">
        <v>4832</v>
      </c>
      <c r="L1003" s="371" t="s">
        <v>1066</v>
      </c>
      <c r="M1003" s="372" t="s">
        <v>751</v>
      </c>
      <c r="N1003" s="373" t="s">
        <v>1067</v>
      </c>
      <c r="O1003" s="374" t="s">
        <v>1066</v>
      </c>
      <c r="P1003" s="374" t="s">
        <v>754</v>
      </c>
    </row>
    <row r="1004" spans="1:16" ht="12.75">
      <c r="A1004">
        <v>997</v>
      </c>
      <c r="B1004" s="557">
        <v>40121</v>
      </c>
      <c r="C1004" t="s">
        <v>5341</v>
      </c>
      <c r="D1004" s="107" t="s">
        <v>2439</v>
      </c>
      <c r="E1004">
        <v>11000</v>
      </c>
      <c r="F1004" s="556">
        <v>17</v>
      </c>
      <c r="G1004" s="541">
        <v>1.5</v>
      </c>
      <c r="H1004" s="560">
        <v>0</v>
      </c>
      <c r="I1004" s="107">
        <v>1</v>
      </c>
      <c r="K1004" s="370">
        <v>4833</v>
      </c>
      <c r="L1004" s="371" t="s">
        <v>1068</v>
      </c>
      <c r="M1004" s="372" t="s">
        <v>751</v>
      </c>
      <c r="N1004" s="373" t="s">
        <v>1069</v>
      </c>
      <c r="O1004" s="374" t="s">
        <v>1068</v>
      </c>
      <c r="P1004" s="374" t="s">
        <v>754</v>
      </c>
    </row>
    <row r="1005" spans="1:16" ht="12.75">
      <c r="A1005">
        <v>998</v>
      </c>
      <c r="B1005" s="557" t="s">
        <v>5342</v>
      </c>
      <c r="C1005" t="s">
        <v>5343</v>
      </c>
      <c r="D1005" s="107" t="s">
        <v>2522</v>
      </c>
      <c r="E1005">
        <v>3</v>
      </c>
      <c r="F1005" s="556">
        <v>16</v>
      </c>
      <c r="G1005" s="541">
        <v>5497.33</v>
      </c>
      <c r="H1005" s="560">
        <v>0</v>
      </c>
      <c r="I1005" s="107">
        <v>2</v>
      </c>
      <c r="K1005" s="370">
        <v>4834</v>
      </c>
      <c r="L1005" s="371" t="s">
        <v>1070</v>
      </c>
      <c r="M1005" s="372" t="s">
        <v>751</v>
      </c>
      <c r="N1005" s="373" t="s">
        <v>1071</v>
      </c>
      <c r="O1005" s="374" t="s">
        <v>1070</v>
      </c>
      <c r="P1005" s="374" t="s">
        <v>754</v>
      </c>
    </row>
    <row r="1006" spans="1:16" ht="12.75">
      <c r="A1006">
        <v>999</v>
      </c>
      <c r="B1006" s="557" t="s">
        <v>4220</v>
      </c>
      <c r="C1006" t="s">
        <v>5344</v>
      </c>
      <c r="D1006" s="107" t="s">
        <v>2522</v>
      </c>
      <c r="E1006">
        <v>17</v>
      </c>
      <c r="F1006" s="556">
        <v>16</v>
      </c>
      <c r="G1006" s="541">
        <v>961.76</v>
      </c>
      <c r="H1006" s="560">
        <v>0</v>
      </c>
      <c r="I1006" s="107">
        <v>3</v>
      </c>
      <c r="K1006" s="370">
        <v>4835</v>
      </c>
      <c r="L1006" s="371" t="s">
        <v>1072</v>
      </c>
      <c r="M1006" s="372" t="s">
        <v>751</v>
      </c>
      <c r="N1006" s="373" t="s">
        <v>1073</v>
      </c>
      <c r="O1006" s="374" t="s">
        <v>1072</v>
      </c>
      <c r="P1006" s="374" t="s">
        <v>754</v>
      </c>
    </row>
    <row r="1007" spans="1:16" ht="12.75">
      <c r="A1007">
        <v>1000</v>
      </c>
      <c r="B1007" s="557">
        <v>14503</v>
      </c>
      <c r="C1007" t="s">
        <v>5345</v>
      </c>
      <c r="D1007" s="107" t="s">
        <v>2522</v>
      </c>
      <c r="E1007">
        <v>6</v>
      </c>
      <c r="F1007" s="556">
        <v>16</v>
      </c>
      <c r="G1007" s="541">
        <v>2711.67</v>
      </c>
      <c r="H1007" s="560">
        <v>0</v>
      </c>
      <c r="I1007" s="107">
        <v>2</v>
      </c>
      <c r="K1007" s="370">
        <v>4836</v>
      </c>
      <c r="L1007" s="371" t="s">
        <v>1074</v>
      </c>
      <c r="M1007" s="372" t="s">
        <v>751</v>
      </c>
      <c r="N1007" s="373" t="s">
        <v>1075</v>
      </c>
      <c r="O1007" s="374" t="s">
        <v>1074</v>
      </c>
      <c r="P1007" s="374" t="s">
        <v>754</v>
      </c>
    </row>
    <row r="1008" spans="1:16" ht="12.75">
      <c r="A1008">
        <v>1001</v>
      </c>
      <c r="B1008" s="557" t="s">
        <v>3216</v>
      </c>
      <c r="C1008" t="s">
        <v>5346</v>
      </c>
      <c r="D1008" s="107" t="s">
        <v>1772</v>
      </c>
      <c r="E1008">
        <v>580</v>
      </c>
      <c r="F1008" s="556">
        <v>16</v>
      </c>
      <c r="G1008" s="541">
        <v>28</v>
      </c>
      <c r="H1008" s="560">
        <v>0</v>
      </c>
      <c r="I1008" s="107">
        <v>1</v>
      </c>
      <c r="K1008" s="370">
        <v>4837</v>
      </c>
      <c r="L1008" s="371" t="s">
        <v>1076</v>
      </c>
      <c r="M1008" s="372" t="s">
        <v>751</v>
      </c>
      <c r="N1008" s="373" t="s">
        <v>1077</v>
      </c>
      <c r="O1008" s="374" t="s">
        <v>1076</v>
      </c>
      <c r="P1008" s="374" t="s">
        <v>754</v>
      </c>
    </row>
    <row r="1009" spans="1:16" ht="12.75">
      <c r="A1009">
        <v>1002</v>
      </c>
      <c r="B1009" s="557">
        <v>4861</v>
      </c>
      <c r="C1009" t="s">
        <v>5347</v>
      </c>
      <c r="D1009" s="107" t="s">
        <v>2439</v>
      </c>
      <c r="E1009">
        <v>2490</v>
      </c>
      <c r="F1009" s="556">
        <v>16</v>
      </c>
      <c r="G1009" s="541">
        <v>6.48</v>
      </c>
      <c r="H1009" s="560">
        <v>0</v>
      </c>
      <c r="I1009" s="107">
        <v>1</v>
      </c>
      <c r="K1009" s="370">
        <v>4840</v>
      </c>
      <c r="L1009" s="371" t="s">
        <v>3669</v>
      </c>
      <c r="M1009" s="372" t="s">
        <v>751</v>
      </c>
      <c r="N1009" s="373" t="s">
        <v>3670</v>
      </c>
      <c r="O1009" s="374" t="s">
        <v>3669</v>
      </c>
      <c r="P1009" s="374" t="s">
        <v>754</v>
      </c>
    </row>
    <row r="1010" spans="1:16" ht="12.75">
      <c r="A1010">
        <v>1003</v>
      </c>
      <c r="B1010" s="557" t="s">
        <v>5348</v>
      </c>
      <c r="C1010" t="s">
        <v>5349</v>
      </c>
      <c r="D1010" s="107" t="s">
        <v>2439</v>
      </c>
      <c r="E1010">
        <v>4730</v>
      </c>
      <c r="F1010" s="556">
        <v>16</v>
      </c>
      <c r="G1010" s="541">
        <v>3.39</v>
      </c>
      <c r="H1010" s="560">
        <v>0</v>
      </c>
      <c r="I1010" s="107">
        <v>3</v>
      </c>
      <c r="K1010" s="370">
        <v>4841</v>
      </c>
      <c r="L1010" s="371" t="s">
        <v>3671</v>
      </c>
      <c r="M1010" s="372" t="s">
        <v>751</v>
      </c>
      <c r="N1010" s="373" t="s">
        <v>3672</v>
      </c>
      <c r="O1010" s="374" t="s">
        <v>3671</v>
      </c>
      <c r="P1010" s="374" t="s">
        <v>754</v>
      </c>
    </row>
    <row r="1011" spans="1:16" ht="12.75">
      <c r="A1011">
        <v>1004</v>
      </c>
      <c r="B1011" s="557">
        <v>4872</v>
      </c>
      <c r="C1011" t="s">
        <v>5350</v>
      </c>
      <c r="D1011" s="107" t="s">
        <v>2522</v>
      </c>
      <c r="E1011">
        <v>4</v>
      </c>
      <c r="F1011" s="556">
        <v>16</v>
      </c>
      <c r="G1011" s="541">
        <v>4000</v>
      </c>
      <c r="H1011" s="560">
        <v>0</v>
      </c>
      <c r="I1011" s="107">
        <v>1</v>
      </c>
      <c r="K1011" s="370">
        <v>4842</v>
      </c>
      <c r="L1011" s="371" t="s">
        <v>3673</v>
      </c>
      <c r="M1011" s="372" t="s">
        <v>751</v>
      </c>
      <c r="N1011" s="373" t="s">
        <v>3674</v>
      </c>
      <c r="O1011" s="374" t="s">
        <v>3673</v>
      </c>
      <c r="P1011" s="374" t="s">
        <v>754</v>
      </c>
    </row>
    <row r="1012" spans="1:16" ht="12.75">
      <c r="A1012">
        <v>1005</v>
      </c>
      <c r="B1012" s="557">
        <v>15143</v>
      </c>
      <c r="C1012" t="s">
        <v>5351</v>
      </c>
      <c r="D1012" s="107" t="s">
        <v>2522</v>
      </c>
      <c r="E1012">
        <v>2</v>
      </c>
      <c r="F1012" s="556">
        <v>16</v>
      </c>
      <c r="G1012" s="541">
        <v>8000</v>
      </c>
      <c r="H1012" s="560">
        <v>0</v>
      </c>
      <c r="I1012" s="107">
        <v>1</v>
      </c>
      <c r="K1012" s="370">
        <v>4843</v>
      </c>
      <c r="L1012" s="371" t="s">
        <v>3675</v>
      </c>
      <c r="M1012" s="372" t="s">
        <v>751</v>
      </c>
      <c r="N1012" s="373" t="s">
        <v>3676</v>
      </c>
      <c r="O1012" s="374" t="s">
        <v>3675</v>
      </c>
      <c r="P1012" s="374" t="s">
        <v>754</v>
      </c>
    </row>
    <row r="1013" spans="1:16" ht="12.75">
      <c r="A1013">
        <v>1006</v>
      </c>
      <c r="B1013" s="557" t="s">
        <v>5352</v>
      </c>
      <c r="C1013" t="s">
        <v>5353</v>
      </c>
      <c r="D1013" s="107" t="s">
        <v>2522</v>
      </c>
      <c r="E1013">
        <v>1</v>
      </c>
      <c r="F1013" s="556">
        <v>16</v>
      </c>
      <c r="G1013" s="541">
        <v>16000</v>
      </c>
      <c r="H1013" s="560">
        <v>0</v>
      </c>
      <c r="I1013" s="107">
        <v>1</v>
      </c>
      <c r="K1013" s="370">
        <v>4844</v>
      </c>
      <c r="L1013" s="371" t="s">
        <v>3677</v>
      </c>
      <c r="M1013" s="372" t="s">
        <v>751</v>
      </c>
      <c r="N1013" s="373" t="s">
        <v>3678</v>
      </c>
      <c r="O1013" s="374" t="s">
        <v>3677</v>
      </c>
      <c r="P1013" s="374" t="s">
        <v>754</v>
      </c>
    </row>
    <row r="1014" spans="1:16" ht="12.75">
      <c r="A1014">
        <v>1007</v>
      </c>
      <c r="B1014" s="557" t="s">
        <v>5354</v>
      </c>
      <c r="C1014" t="s">
        <v>5355</v>
      </c>
      <c r="D1014" s="107" t="s">
        <v>2439</v>
      </c>
      <c r="E1014">
        <v>20</v>
      </c>
      <c r="F1014" s="556">
        <v>16</v>
      </c>
      <c r="G1014" s="541">
        <v>800</v>
      </c>
      <c r="H1014" s="560">
        <v>0</v>
      </c>
      <c r="I1014" s="107">
        <v>1</v>
      </c>
      <c r="K1014" s="370">
        <v>4845</v>
      </c>
      <c r="L1014" s="371" t="s">
        <v>3679</v>
      </c>
      <c r="M1014" s="372" t="s">
        <v>751</v>
      </c>
      <c r="N1014" s="373" t="s">
        <v>3680</v>
      </c>
      <c r="O1014" s="374" t="s">
        <v>3679</v>
      </c>
      <c r="P1014" s="374" t="s">
        <v>754</v>
      </c>
    </row>
    <row r="1015" spans="1:16" ht="12.75">
      <c r="A1015">
        <v>1008</v>
      </c>
      <c r="B1015" s="557">
        <v>1727</v>
      </c>
      <c r="C1015" t="s">
        <v>5356</v>
      </c>
      <c r="D1015" s="107" t="s">
        <v>2522</v>
      </c>
      <c r="E1015">
        <v>3</v>
      </c>
      <c r="F1015" s="556">
        <v>16</v>
      </c>
      <c r="G1015" s="541">
        <v>5315</v>
      </c>
      <c r="H1015" s="560">
        <v>0</v>
      </c>
      <c r="I1015" s="107">
        <v>3</v>
      </c>
      <c r="K1015" s="370">
        <v>4850</v>
      </c>
      <c r="L1015" s="371" t="s">
        <v>3681</v>
      </c>
      <c r="M1015" s="372" t="s">
        <v>751</v>
      </c>
      <c r="N1015" s="373" t="s">
        <v>3682</v>
      </c>
      <c r="O1015" s="374" t="s">
        <v>3681</v>
      </c>
      <c r="P1015" s="374" t="s">
        <v>754</v>
      </c>
    </row>
    <row r="1016" spans="1:16" ht="12.75">
      <c r="A1016">
        <v>1009</v>
      </c>
      <c r="B1016" s="557" t="s">
        <v>4260</v>
      </c>
      <c r="C1016" t="s">
        <v>5357</v>
      </c>
      <c r="D1016" s="107" t="s">
        <v>2439</v>
      </c>
      <c r="E1016">
        <v>45</v>
      </c>
      <c r="F1016" s="556">
        <v>16</v>
      </c>
      <c r="G1016" s="541">
        <v>350</v>
      </c>
      <c r="H1016" s="560">
        <v>0</v>
      </c>
      <c r="I1016" s="107">
        <v>1</v>
      </c>
      <c r="K1016" s="370">
        <v>4851</v>
      </c>
      <c r="L1016" s="371" t="s">
        <v>3683</v>
      </c>
      <c r="M1016" s="372" t="s">
        <v>751</v>
      </c>
      <c r="N1016" s="373" t="s">
        <v>3684</v>
      </c>
      <c r="O1016" s="374" t="s">
        <v>3683</v>
      </c>
      <c r="P1016" s="374" t="s">
        <v>754</v>
      </c>
    </row>
    <row r="1017" spans="1:16" ht="12.75">
      <c r="A1017">
        <v>1010</v>
      </c>
      <c r="B1017" s="557" t="s">
        <v>5358</v>
      </c>
      <c r="C1017" t="s">
        <v>5359</v>
      </c>
      <c r="D1017" s="107" t="s">
        <v>2522</v>
      </c>
      <c r="E1017">
        <v>13</v>
      </c>
      <c r="F1017" s="556">
        <v>16</v>
      </c>
      <c r="G1017" s="541">
        <v>1207.69</v>
      </c>
      <c r="H1017" s="560">
        <v>0</v>
      </c>
      <c r="I1017" s="107">
        <v>4</v>
      </c>
      <c r="K1017" s="370">
        <v>4852</v>
      </c>
      <c r="L1017" s="371" t="s">
        <v>3685</v>
      </c>
      <c r="M1017" s="372" t="s">
        <v>751</v>
      </c>
      <c r="N1017" s="373" t="s">
        <v>3686</v>
      </c>
      <c r="O1017" s="374" t="s">
        <v>3685</v>
      </c>
      <c r="P1017" s="374" t="s">
        <v>754</v>
      </c>
    </row>
    <row r="1018" spans="1:16" ht="12.75">
      <c r="A1018">
        <v>1011</v>
      </c>
      <c r="B1018" s="557">
        <v>40168</v>
      </c>
      <c r="C1018" t="s">
        <v>5360</v>
      </c>
      <c r="D1018" s="107" t="s">
        <v>3416</v>
      </c>
      <c r="E1018">
        <v>7870</v>
      </c>
      <c r="F1018" s="556">
        <v>15</v>
      </c>
      <c r="G1018" s="541">
        <v>1.96</v>
      </c>
      <c r="H1018" s="560">
        <v>0</v>
      </c>
      <c r="I1018" s="107">
        <v>2</v>
      </c>
      <c r="K1018" s="370">
        <v>4860</v>
      </c>
      <c r="L1018" s="371" t="s">
        <v>3687</v>
      </c>
      <c r="M1018" s="372" t="s">
        <v>751</v>
      </c>
      <c r="N1018" s="373" t="s">
        <v>3688</v>
      </c>
      <c r="O1018" s="374" t="s">
        <v>3687</v>
      </c>
      <c r="P1018" s="374" t="s">
        <v>754</v>
      </c>
    </row>
    <row r="1019" spans="1:16" ht="12.75">
      <c r="A1019">
        <v>1012</v>
      </c>
      <c r="B1019" s="557" t="s">
        <v>5361</v>
      </c>
      <c r="C1019" t="s">
        <v>5362</v>
      </c>
      <c r="D1019" s="107" t="s">
        <v>2439</v>
      </c>
      <c r="E1019">
        <v>96</v>
      </c>
      <c r="F1019" s="556">
        <v>15</v>
      </c>
      <c r="G1019" s="541">
        <v>160.78</v>
      </c>
      <c r="H1019" s="560">
        <v>0</v>
      </c>
      <c r="I1019" s="107">
        <v>1</v>
      </c>
      <c r="K1019" s="370">
        <v>4861</v>
      </c>
      <c r="L1019" s="371" t="s">
        <v>3689</v>
      </c>
      <c r="M1019" s="372" t="s">
        <v>751</v>
      </c>
      <c r="N1019" s="373" t="s">
        <v>3690</v>
      </c>
      <c r="O1019" s="374" t="s">
        <v>3689</v>
      </c>
      <c r="P1019" s="374" t="s">
        <v>754</v>
      </c>
    </row>
    <row r="1020" spans="1:16" ht="12.75">
      <c r="A1020">
        <v>1013</v>
      </c>
      <c r="B1020" s="557">
        <v>40074</v>
      </c>
      <c r="C1020" t="s">
        <v>5363</v>
      </c>
      <c r="D1020" s="107" t="s">
        <v>1771</v>
      </c>
      <c r="E1020">
        <v>128</v>
      </c>
      <c r="F1020" s="556">
        <v>15</v>
      </c>
      <c r="G1020" s="541">
        <v>120</v>
      </c>
      <c r="H1020" s="560">
        <v>0</v>
      </c>
      <c r="I1020" s="107">
        <v>1</v>
      </c>
      <c r="K1020" s="370">
        <v>4862</v>
      </c>
      <c r="L1020" s="371" t="s">
        <v>3691</v>
      </c>
      <c r="M1020" s="372" t="s">
        <v>751</v>
      </c>
      <c r="N1020" s="373" t="s">
        <v>3692</v>
      </c>
      <c r="O1020" s="374" t="s">
        <v>3691</v>
      </c>
      <c r="P1020" s="374" t="s">
        <v>754</v>
      </c>
    </row>
    <row r="1021" spans="1:16" ht="12.75">
      <c r="A1021">
        <v>1014</v>
      </c>
      <c r="B1021" s="557">
        <v>4832</v>
      </c>
      <c r="C1021" t="s">
        <v>5364</v>
      </c>
      <c r="D1021" s="107" t="s">
        <v>2439</v>
      </c>
      <c r="E1021">
        <v>24096</v>
      </c>
      <c r="F1021" s="556">
        <v>15</v>
      </c>
      <c r="G1021" s="541">
        <v>0.64</v>
      </c>
      <c r="H1021" s="560">
        <v>0</v>
      </c>
      <c r="I1021" s="107">
        <v>10</v>
      </c>
      <c r="K1021" s="370">
        <v>4863</v>
      </c>
      <c r="L1021" s="371" t="s">
        <v>3693</v>
      </c>
      <c r="M1021" s="372" t="s">
        <v>751</v>
      </c>
      <c r="N1021" s="373" t="s">
        <v>3694</v>
      </c>
      <c r="O1021" s="374" t="s">
        <v>3693</v>
      </c>
      <c r="P1021" s="374" t="s">
        <v>754</v>
      </c>
    </row>
    <row r="1022" spans="1:16" ht="12.75">
      <c r="A1022">
        <v>1015</v>
      </c>
      <c r="B1022" s="557">
        <v>40104</v>
      </c>
      <c r="C1022" t="s">
        <v>5365</v>
      </c>
      <c r="D1022" s="107" t="s">
        <v>2522</v>
      </c>
      <c r="E1022">
        <v>27</v>
      </c>
      <c r="F1022" s="556">
        <v>15</v>
      </c>
      <c r="G1022" s="541">
        <v>556.33</v>
      </c>
      <c r="H1022" s="560">
        <v>0</v>
      </c>
      <c r="I1022" s="107">
        <v>1</v>
      </c>
      <c r="K1022" s="370">
        <v>4864</v>
      </c>
      <c r="L1022" s="371" t="s">
        <v>3695</v>
      </c>
      <c r="M1022" s="372" t="s">
        <v>751</v>
      </c>
      <c r="N1022" s="373" t="s">
        <v>3696</v>
      </c>
      <c r="O1022" s="374" t="s">
        <v>3695</v>
      </c>
      <c r="P1022" s="374" t="s">
        <v>754</v>
      </c>
    </row>
    <row r="1023" spans="1:16" ht="12.75">
      <c r="A1023">
        <v>1016</v>
      </c>
      <c r="B1023" s="557">
        <v>2654</v>
      </c>
      <c r="C1023" t="s">
        <v>5366</v>
      </c>
      <c r="D1023" s="107" t="s">
        <v>2522</v>
      </c>
      <c r="E1023">
        <v>1</v>
      </c>
      <c r="F1023" s="556">
        <v>15</v>
      </c>
      <c r="G1023" s="541">
        <v>15000</v>
      </c>
      <c r="H1023" s="560">
        <v>0</v>
      </c>
      <c r="I1023" s="107">
        <v>1</v>
      </c>
      <c r="K1023" s="370">
        <v>4871</v>
      </c>
      <c r="L1023" s="371" t="s">
        <v>3697</v>
      </c>
      <c r="M1023" s="372" t="s">
        <v>2821</v>
      </c>
      <c r="N1023" s="373" t="s">
        <v>3698</v>
      </c>
      <c r="O1023" s="374" t="s">
        <v>3699</v>
      </c>
      <c r="P1023" s="374" t="s">
        <v>2821</v>
      </c>
    </row>
    <row r="1024" spans="1:16" ht="12.75">
      <c r="A1024">
        <v>1017</v>
      </c>
      <c r="B1024" s="557">
        <v>14146</v>
      </c>
      <c r="C1024" t="s">
        <v>5367</v>
      </c>
      <c r="D1024" s="107" t="s">
        <v>2522</v>
      </c>
      <c r="E1024">
        <v>2</v>
      </c>
      <c r="F1024" s="556">
        <v>15</v>
      </c>
      <c r="G1024" s="541">
        <v>7500</v>
      </c>
      <c r="H1024" s="560">
        <v>0</v>
      </c>
      <c r="I1024" s="107">
        <v>1</v>
      </c>
      <c r="K1024" s="370">
        <v>4872</v>
      </c>
      <c r="L1024" s="371" t="s">
        <v>3700</v>
      </c>
      <c r="M1024" s="372" t="s">
        <v>2821</v>
      </c>
      <c r="N1024" s="373" t="s">
        <v>3701</v>
      </c>
      <c r="O1024" s="374" t="s">
        <v>3702</v>
      </c>
      <c r="P1024" s="374" t="s">
        <v>2821</v>
      </c>
    </row>
    <row r="1025" spans="1:16" ht="12.75">
      <c r="A1025">
        <v>1018</v>
      </c>
      <c r="B1025" s="557" t="s">
        <v>4275</v>
      </c>
      <c r="C1025" t="s">
        <v>5368</v>
      </c>
      <c r="D1025" s="107" t="s">
        <v>2441</v>
      </c>
      <c r="E1025">
        <v>1</v>
      </c>
      <c r="F1025" s="556">
        <v>15</v>
      </c>
      <c r="G1025" s="541">
        <v>15000</v>
      </c>
      <c r="H1025" s="560">
        <v>0</v>
      </c>
      <c r="I1025" s="107">
        <v>1</v>
      </c>
      <c r="K1025" s="370">
        <v>4873</v>
      </c>
      <c r="L1025" s="371" t="s">
        <v>3703</v>
      </c>
      <c r="M1025" s="372" t="s">
        <v>2821</v>
      </c>
      <c r="N1025" s="373" t="s">
        <v>3704</v>
      </c>
      <c r="O1025" s="374" t="s">
        <v>3705</v>
      </c>
      <c r="P1025" s="374" t="s">
        <v>2821</v>
      </c>
    </row>
    <row r="1026" spans="1:14" ht="12.75">
      <c r="A1026">
        <v>1019</v>
      </c>
      <c r="B1026" s="557" t="s">
        <v>5369</v>
      </c>
      <c r="C1026" t="s">
        <v>5370</v>
      </c>
      <c r="D1026" s="107" t="s">
        <v>2441</v>
      </c>
      <c r="E1026">
        <v>1</v>
      </c>
      <c r="F1026" s="556">
        <v>15</v>
      </c>
      <c r="G1026" s="541">
        <v>15000</v>
      </c>
      <c r="H1026" s="560">
        <v>0</v>
      </c>
      <c r="I1026" s="107">
        <v>1</v>
      </c>
      <c r="K1026" s="370">
        <v>4880</v>
      </c>
      <c r="L1026" s="371" t="s">
        <v>3706</v>
      </c>
      <c r="M1026" s="372" t="s">
        <v>2821</v>
      </c>
      <c r="N1026" s="373"/>
    </row>
    <row r="1027" spans="1:14" ht="12.75">
      <c r="A1027">
        <v>1020</v>
      </c>
      <c r="B1027" s="557">
        <v>40117</v>
      </c>
      <c r="C1027" t="s">
        <v>5371</v>
      </c>
      <c r="D1027" s="107" t="s">
        <v>2439</v>
      </c>
      <c r="E1027">
        <v>250</v>
      </c>
      <c r="F1027" s="556">
        <v>15</v>
      </c>
      <c r="G1027" s="541">
        <v>60</v>
      </c>
      <c r="H1027" s="560">
        <v>0</v>
      </c>
      <c r="I1027" s="107">
        <v>1</v>
      </c>
      <c r="K1027" s="370">
        <v>4881</v>
      </c>
      <c r="L1027" s="371" t="s">
        <v>3707</v>
      </c>
      <c r="M1027" s="372" t="s">
        <v>2821</v>
      </c>
      <c r="N1027" s="373"/>
    </row>
    <row r="1028" spans="1:14" ht="12.75">
      <c r="A1028">
        <v>1021</v>
      </c>
      <c r="B1028" s="557">
        <v>16015</v>
      </c>
      <c r="C1028" t="s">
        <v>4298</v>
      </c>
      <c r="D1028" s="107" t="s">
        <v>2439</v>
      </c>
      <c r="E1028">
        <v>83</v>
      </c>
      <c r="F1028" s="556">
        <v>15</v>
      </c>
      <c r="G1028" s="541">
        <v>180</v>
      </c>
      <c r="H1028" s="560">
        <v>0</v>
      </c>
      <c r="I1028" s="107">
        <v>1</v>
      </c>
      <c r="K1028" s="370">
        <v>4882</v>
      </c>
      <c r="L1028" s="371" t="s">
        <v>3708</v>
      </c>
      <c r="M1028" s="372" t="s">
        <v>2821</v>
      </c>
      <c r="N1028" s="373"/>
    </row>
    <row r="1029" spans="1:14" ht="12.75">
      <c r="A1029">
        <v>1022</v>
      </c>
      <c r="B1029" s="557" t="s">
        <v>4022</v>
      </c>
      <c r="C1029" t="s">
        <v>5372</v>
      </c>
      <c r="D1029" s="107" t="s">
        <v>2441</v>
      </c>
      <c r="E1029">
        <v>6</v>
      </c>
      <c r="F1029" s="556">
        <v>15</v>
      </c>
      <c r="G1029" s="541">
        <v>2465.83</v>
      </c>
      <c r="H1029" s="560">
        <v>0</v>
      </c>
      <c r="I1029" s="107">
        <v>6</v>
      </c>
      <c r="K1029" s="370">
        <v>4883</v>
      </c>
      <c r="L1029" s="371" t="s">
        <v>3709</v>
      </c>
      <c r="M1029" s="372" t="s">
        <v>2821</v>
      </c>
      <c r="N1029" s="373"/>
    </row>
    <row r="1030" spans="1:14" ht="12.75">
      <c r="A1030">
        <v>1023</v>
      </c>
      <c r="B1030" s="557">
        <v>24540</v>
      </c>
      <c r="C1030" t="s">
        <v>5373</v>
      </c>
      <c r="D1030" s="107" t="s">
        <v>2522</v>
      </c>
      <c r="E1030">
        <v>125</v>
      </c>
      <c r="F1030" s="556">
        <v>15</v>
      </c>
      <c r="G1030" s="541">
        <v>117.93</v>
      </c>
      <c r="H1030" s="560">
        <v>0</v>
      </c>
      <c r="I1030" s="107">
        <v>6</v>
      </c>
      <c r="K1030" s="370">
        <v>4884</v>
      </c>
      <c r="L1030" s="371" t="s">
        <v>3710</v>
      </c>
      <c r="M1030" s="372" t="s">
        <v>2821</v>
      </c>
      <c r="N1030" s="373"/>
    </row>
    <row r="1031" spans="1:16" ht="12.75">
      <c r="A1031">
        <v>1024</v>
      </c>
      <c r="B1031" s="557">
        <v>494</v>
      </c>
      <c r="C1031" t="s">
        <v>5374</v>
      </c>
      <c r="D1031" s="107" t="s">
        <v>2439</v>
      </c>
      <c r="E1031">
        <v>60</v>
      </c>
      <c r="F1031" s="556">
        <v>15</v>
      </c>
      <c r="G1031" s="541">
        <v>245</v>
      </c>
      <c r="H1031" s="560">
        <v>0</v>
      </c>
      <c r="I1031" s="107">
        <v>1</v>
      </c>
      <c r="K1031" s="370">
        <v>4885</v>
      </c>
      <c r="L1031" s="371" t="s">
        <v>3711</v>
      </c>
      <c r="M1031" s="372" t="s">
        <v>751</v>
      </c>
      <c r="N1031" s="373" t="s">
        <v>3712</v>
      </c>
      <c r="O1031" s="374" t="s">
        <v>3713</v>
      </c>
      <c r="P1031" s="374" t="s">
        <v>754</v>
      </c>
    </row>
    <row r="1032" spans="1:16" ht="12.75">
      <c r="A1032">
        <v>1025</v>
      </c>
      <c r="B1032" s="557">
        <v>40187</v>
      </c>
      <c r="C1032" t="s">
        <v>5375</v>
      </c>
      <c r="D1032" s="107" t="s">
        <v>2522</v>
      </c>
      <c r="E1032">
        <v>1</v>
      </c>
      <c r="F1032" s="556">
        <v>15</v>
      </c>
      <c r="G1032" s="541">
        <v>14596.83</v>
      </c>
      <c r="H1032" s="560">
        <v>0</v>
      </c>
      <c r="I1032" s="107">
        <v>1</v>
      </c>
      <c r="K1032" s="370">
        <v>4886</v>
      </c>
      <c r="L1032" s="371" t="s">
        <v>3714</v>
      </c>
      <c r="M1032" s="372" t="s">
        <v>751</v>
      </c>
      <c r="N1032" s="373" t="s">
        <v>3715</v>
      </c>
      <c r="O1032" s="374" t="s">
        <v>3716</v>
      </c>
      <c r="P1032" s="374" t="s">
        <v>754</v>
      </c>
    </row>
    <row r="1033" spans="1:14" ht="12.75">
      <c r="A1033">
        <v>1026</v>
      </c>
      <c r="B1033" s="557">
        <v>1648</v>
      </c>
      <c r="C1033" t="s">
        <v>5376</v>
      </c>
      <c r="D1033" s="107" t="s">
        <v>2522</v>
      </c>
      <c r="E1033">
        <v>2</v>
      </c>
      <c r="F1033" s="556">
        <v>15</v>
      </c>
      <c r="G1033" s="541">
        <v>7250</v>
      </c>
      <c r="H1033" s="560">
        <v>0</v>
      </c>
      <c r="I1033" s="107">
        <v>2</v>
      </c>
      <c r="K1033" s="370">
        <v>4887</v>
      </c>
      <c r="L1033" s="371" t="s">
        <v>3717</v>
      </c>
      <c r="M1033" s="372" t="s">
        <v>2821</v>
      </c>
      <c r="N1033" s="373"/>
    </row>
    <row r="1034" spans="1:14" ht="12.75">
      <c r="A1034">
        <v>1027</v>
      </c>
      <c r="B1034" s="557">
        <v>3343</v>
      </c>
      <c r="C1034" t="s">
        <v>5377</v>
      </c>
      <c r="D1034" s="107" t="s">
        <v>2439</v>
      </c>
      <c r="E1034">
        <v>195</v>
      </c>
      <c r="F1034" s="556">
        <v>14</v>
      </c>
      <c r="G1034" s="541">
        <v>74.25</v>
      </c>
      <c r="H1034" s="560">
        <v>0</v>
      </c>
      <c r="I1034" s="107">
        <v>2</v>
      </c>
      <c r="K1034" s="370">
        <v>4890</v>
      </c>
      <c r="L1034" s="371" t="s">
        <v>3718</v>
      </c>
      <c r="M1034" s="372" t="s">
        <v>2821</v>
      </c>
      <c r="N1034" s="373"/>
    </row>
    <row r="1035" spans="1:14" ht="12.75">
      <c r="A1035">
        <v>1028</v>
      </c>
      <c r="B1035" s="557">
        <v>14109</v>
      </c>
      <c r="C1035" t="s">
        <v>5378</v>
      </c>
      <c r="D1035" s="107" t="s">
        <v>2522</v>
      </c>
      <c r="E1035">
        <v>1</v>
      </c>
      <c r="F1035" s="556">
        <v>14</v>
      </c>
      <c r="G1035" s="541">
        <v>14440.68</v>
      </c>
      <c r="H1035" s="560">
        <v>0</v>
      </c>
      <c r="I1035" s="107">
        <v>1</v>
      </c>
      <c r="K1035" s="370">
        <v>4891</v>
      </c>
      <c r="L1035" s="371" t="s">
        <v>3719</v>
      </c>
      <c r="M1035" s="372" t="s">
        <v>2821</v>
      </c>
      <c r="N1035" s="373"/>
    </row>
    <row r="1036" spans="1:16" ht="12.75">
      <c r="A1036">
        <v>1029</v>
      </c>
      <c r="B1036" s="557" t="s">
        <v>4210</v>
      </c>
      <c r="C1036" t="s">
        <v>5379</v>
      </c>
      <c r="D1036" s="107" t="s">
        <v>2522</v>
      </c>
      <c r="E1036">
        <v>48</v>
      </c>
      <c r="F1036" s="556">
        <v>14</v>
      </c>
      <c r="G1036" s="541">
        <v>296.88</v>
      </c>
      <c r="H1036" s="560">
        <v>0</v>
      </c>
      <c r="I1036" s="107">
        <v>2</v>
      </c>
      <c r="K1036" s="370">
        <v>4894</v>
      </c>
      <c r="L1036" s="371" t="s">
        <v>3720</v>
      </c>
      <c r="M1036" s="372" t="s">
        <v>751</v>
      </c>
      <c r="N1036" s="373" t="s">
        <v>3721</v>
      </c>
      <c r="O1036" s="374" t="s">
        <v>3720</v>
      </c>
      <c r="P1036" s="374" t="s">
        <v>754</v>
      </c>
    </row>
    <row r="1037" spans="1:16" ht="12.75">
      <c r="A1037">
        <v>1030</v>
      </c>
      <c r="B1037" s="557">
        <v>554</v>
      </c>
      <c r="C1037" t="s">
        <v>5380</v>
      </c>
      <c r="D1037" s="107" t="s">
        <v>2439</v>
      </c>
      <c r="E1037">
        <v>72</v>
      </c>
      <c r="F1037" s="556">
        <v>14</v>
      </c>
      <c r="G1037" s="541">
        <v>196.3</v>
      </c>
      <c r="H1037" s="560">
        <v>0</v>
      </c>
      <c r="I1037" s="107">
        <v>1</v>
      </c>
      <c r="K1037" s="370">
        <v>4895</v>
      </c>
      <c r="L1037" s="371" t="s">
        <v>3722</v>
      </c>
      <c r="M1037" s="372" t="s">
        <v>751</v>
      </c>
      <c r="N1037" s="373" t="s">
        <v>3723</v>
      </c>
      <c r="O1037" s="374" t="s">
        <v>3722</v>
      </c>
      <c r="P1037" s="374" t="s">
        <v>754</v>
      </c>
    </row>
    <row r="1038" spans="1:14" ht="12.75">
      <c r="A1038">
        <v>1031</v>
      </c>
      <c r="B1038" s="557">
        <v>6572</v>
      </c>
      <c r="C1038" t="s">
        <v>5381</v>
      </c>
      <c r="D1038" s="107" t="s">
        <v>2439</v>
      </c>
      <c r="E1038">
        <v>6680</v>
      </c>
      <c r="F1038" s="556">
        <v>14</v>
      </c>
      <c r="G1038" s="541">
        <v>2.11</v>
      </c>
      <c r="H1038" s="560">
        <v>0</v>
      </c>
      <c r="I1038" s="107">
        <v>8</v>
      </c>
      <c r="K1038" s="370">
        <v>4896</v>
      </c>
      <c r="L1038" s="371" t="s">
        <v>3724</v>
      </c>
      <c r="M1038" s="372" t="s">
        <v>2821</v>
      </c>
      <c r="N1038" s="373"/>
    </row>
    <row r="1039" spans="1:14" ht="12.75">
      <c r="A1039">
        <v>1032</v>
      </c>
      <c r="B1039" s="557">
        <v>6567</v>
      </c>
      <c r="C1039" t="s">
        <v>5382</v>
      </c>
      <c r="D1039" s="107" t="s">
        <v>2439</v>
      </c>
      <c r="E1039">
        <v>1341</v>
      </c>
      <c r="F1039" s="556">
        <v>14</v>
      </c>
      <c r="G1039" s="541">
        <v>10.49</v>
      </c>
      <c r="H1039" s="560">
        <v>0</v>
      </c>
      <c r="I1039" s="107">
        <v>9</v>
      </c>
      <c r="K1039" s="370">
        <v>4897</v>
      </c>
      <c r="L1039" s="371" t="s">
        <v>3725</v>
      </c>
      <c r="M1039" s="372" t="s">
        <v>2821</v>
      </c>
      <c r="N1039" s="373"/>
    </row>
    <row r="1040" spans="1:14" ht="12.75">
      <c r="A1040">
        <v>1033</v>
      </c>
      <c r="B1040" s="557">
        <v>16048</v>
      </c>
      <c r="C1040" t="s">
        <v>5383</v>
      </c>
      <c r="D1040" s="107" t="s">
        <v>2522</v>
      </c>
      <c r="E1040">
        <v>7</v>
      </c>
      <c r="F1040" s="556">
        <v>14</v>
      </c>
      <c r="G1040" s="541">
        <v>2000</v>
      </c>
      <c r="H1040" s="560">
        <v>0</v>
      </c>
      <c r="I1040" s="107">
        <v>1</v>
      </c>
      <c r="K1040" s="370">
        <v>4898</v>
      </c>
      <c r="L1040" s="371" t="s">
        <v>3726</v>
      </c>
      <c r="M1040" s="372" t="s">
        <v>2821</v>
      </c>
      <c r="N1040" s="373"/>
    </row>
    <row r="1041" spans="1:14" ht="12.75">
      <c r="A1041">
        <v>1034</v>
      </c>
      <c r="B1041" s="557" t="s">
        <v>5384</v>
      </c>
      <c r="C1041" t="s">
        <v>5385</v>
      </c>
      <c r="D1041" s="107" t="s">
        <v>2522</v>
      </c>
      <c r="E1041">
        <v>7</v>
      </c>
      <c r="F1041" s="556">
        <v>14</v>
      </c>
      <c r="G1041" s="541">
        <v>2000</v>
      </c>
      <c r="H1041" s="560">
        <v>0</v>
      </c>
      <c r="I1041" s="107">
        <v>1</v>
      </c>
      <c r="K1041" s="370">
        <v>4899</v>
      </c>
      <c r="L1041" s="371" t="s">
        <v>3727</v>
      </c>
      <c r="M1041" s="372" t="s">
        <v>2821</v>
      </c>
      <c r="N1041" s="373"/>
    </row>
    <row r="1042" spans="1:14" ht="12.75">
      <c r="A1042">
        <v>1035</v>
      </c>
      <c r="B1042" s="557" t="s">
        <v>5386</v>
      </c>
      <c r="C1042" t="s">
        <v>5387</v>
      </c>
      <c r="D1042" s="107" t="s">
        <v>2522</v>
      </c>
      <c r="E1042">
        <v>7</v>
      </c>
      <c r="F1042" s="556">
        <v>14</v>
      </c>
      <c r="G1042" s="541">
        <v>2000</v>
      </c>
      <c r="H1042" s="560">
        <v>0</v>
      </c>
      <c r="I1042" s="107">
        <v>1</v>
      </c>
      <c r="K1042" s="370">
        <v>4900</v>
      </c>
      <c r="L1042" s="371" t="s">
        <v>3728</v>
      </c>
      <c r="M1042" s="372" t="s">
        <v>2821</v>
      </c>
      <c r="N1042" s="373"/>
    </row>
    <row r="1043" spans="1:14" ht="12.75">
      <c r="A1043">
        <v>1036</v>
      </c>
      <c r="B1043" s="557">
        <v>14093</v>
      </c>
      <c r="C1043" t="s">
        <v>5388</v>
      </c>
      <c r="D1043" s="107" t="s">
        <v>2522</v>
      </c>
      <c r="E1043">
        <v>5</v>
      </c>
      <c r="F1043" s="556">
        <v>14</v>
      </c>
      <c r="G1043" s="541">
        <v>2780</v>
      </c>
      <c r="H1043" s="560">
        <v>0</v>
      </c>
      <c r="I1043" s="107">
        <v>3</v>
      </c>
      <c r="K1043" s="370">
        <v>4901</v>
      </c>
      <c r="L1043" s="371" t="s">
        <v>3729</v>
      </c>
      <c r="M1043" s="372" t="s">
        <v>2821</v>
      </c>
      <c r="N1043" s="373"/>
    </row>
    <row r="1044" spans="1:16" ht="12.75">
      <c r="A1044">
        <v>1037</v>
      </c>
      <c r="B1044" s="557">
        <v>1502</v>
      </c>
      <c r="C1044" t="s">
        <v>5389</v>
      </c>
      <c r="D1044" s="107" t="s">
        <v>2522</v>
      </c>
      <c r="E1044">
        <v>2</v>
      </c>
      <c r="F1044" s="556">
        <v>14</v>
      </c>
      <c r="G1044" s="541">
        <v>6750</v>
      </c>
      <c r="H1044" s="560">
        <v>0</v>
      </c>
      <c r="I1044" s="107">
        <v>2</v>
      </c>
      <c r="K1044" s="370">
        <v>4902</v>
      </c>
      <c r="L1044" s="371" t="s">
        <v>3730</v>
      </c>
      <c r="M1044" s="372" t="s">
        <v>751</v>
      </c>
      <c r="N1044" s="373" t="s">
        <v>3731</v>
      </c>
      <c r="O1044" s="374" t="s">
        <v>3730</v>
      </c>
      <c r="P1044" s="374" t="s">
        <v>754</v>
      </c>
    </row>
    <row r="1045" spans="1:14" ht="12.75">
      <c r="A1045">
        <v>1038</v>
      </c>
      <c r="B1045" s="557">
        <v>1584</v>
      </c>
      <c r="C1045" t="s">
        <v>5390</v>
      </c>
      <c r="D1045" s="107" t="s">
        <v>2522</v>
      </c>
      <c r="E1045">
        <v>12</v>
      </c>
      <c r="F1045" s="556">
        <v>14</v>
      </c>
      <c r="G1045" s="541">
        <v>1125</v>
      </c>
      <c r="H1045" s="560">
        <v>0</v>
      </c>
      <c r="I1045" s="107">
        <v>2</v>
      </c>
      <c r="K1045" s="370">
        <v>4903</v>
      </c>
      <c r="L1045" s="371" t="s">
        <v>3732</v>
      </c>
      <c r="M1045" s="372" t="s">
        <v>2821</v>
      </c>
      <c r="N1045" s="373"/>
    </row>
    <row r="1046" spans="1:14" ht="12.75">
      <c r="A1046">
        <v>1039</v>
      </c>
      <c r="B1046" s="557" t="s">
        <v>5391</v>
      </c>
      <c r="C1046" t="s">
        <v>5392</v>
      </c>
      <c r="D1046" s="107" t="s">
        <v>2522</v>
      </c>
      <c r="E1046">
        <v>3</v>
      </c>
      <c r="F1046" s="556">
        <v>14</v>
      </c>
      <c r="G1046" s="541">
        <v>4500</v>
      </c>
      <c r="H1046" s="560">
        <v>0</v>
      </c>
      <c r="I1046" s="107">
        <v>1</v>
      </c>
      <c r="K1046" s="370">
        <v>4904</v>
      </c>
      <c r="L1046" s="371" t="s">
        <v>3733</v>
      </c>
      <c r="M1046" s="372" t="s">
        <v>2821</v>
      </c>
      <c r="N1046" s="373"/>
    </row>
    <row r="1047" spans="1:14" ht="12.75">
      <c r="A1047">
        <v>1040</v>
      </c>
      <c r="B1047" s="557">
        <v>30000</v>
      </c>
      <c r="C1047" t="s">
        <v>5393</v>
      </c>
      <c r="D1047" s="107" t="s">
        <v>2522</v>
      </c>
      <c r="E1047">
        <v>3</v>
      </c>
      <c r="F1047" s="556">
        <v>14</v>
      </c>
      <c r="G1047" s="541">
        <v>4500</v>
      </c>
      <c r="H1047" s="560">
        <v>0</v>
      </c>
      <c r="I1047" s="107">
        <v>1</v>
      </c>
      <c r="K1047" s="370">
        <v>4905</v>
      </c>
      <c r="L1047" s="371" t="s">
        <v>3734</v>
      </c>
      <c r="M1047" s="372" t="s">
        <v>2821</v>
      </c>
      <c r="N1047" s="373"/>
    </row>
    <row r="1048" spans="1:16" ht="12.75">
      <c r="A1048">
        <v>1041</v>
      </c>
      <c r="B1048" s="557">
        <v>4835</v>
      </c>
      <c r="C1048" t="s">
        <v>5394</v>
      </c>
      <c r="D1048" s="107" t="s">
        <v>2439</v>
      </c>
      <c r="E1048">
        <v>8030</v>
      </c>
      <c r="F1048" s="556">
        <v>13</v>
      </c>
      <c r="G1048" s="541">
        <v>1.67</v>
      </c>
      <c r="H1048" s="560">
        <v>0</v>
      </c>
      <c r="I1048" s="107">
        <v>2</v>
      </c>
      <c r="K1048" s="370">
        <v>4910</v>
      </c>
      <c r="L1048" s="371" t="s">
        <v>3735</v>
      </c>
      <c r="M1048" s="372" t="s">
        <v>2821</v>
      </c>
      <c r="N1048" s="373" t="s">
        <v>3736</v>
      </c>
      <c r="O1048" s="374" t="s">
        <v>3737</v>
      </c>
      <c r="P1048" s="374" t="s">
        <v>2821</v>
      </c>
    </row>
    <row r="1049" spans="1:16" ht="12.75">
      <c r="A1049">
        <v>1042</v>
      </c>
      <c r="B1049" s="557">
        <v>15089</v>
      </c>
      <c r="C1049" t="s">
        <v>5395</v>
      </c>
      <c r="D1049" s="107" t="s">
        <v>2522</v>
      </c>
      <c r="E1049">
        <v>3</v>
      </c>
      <c r="F1049" s="556">
        <v>13</v>
      </c>
      <c r="G1049" s="541">
        <v>4400</v>
      </c>
      <c r="H1049" s="560">
        <v>0</v>
      </c>
      <c r="I1049" s="107">
        <v>1</v>
      </c>
      <c r="K1049" s="370">
        <v>4911</v>
      </c>
      <c r="L1049" s="371" t="s">
        <v>3738</v>
      </c>
      <c r="M1049" s="372" t="s">
        <v>2821</v>
      </c>
      <c r="N1049" s="373" t="s">
        <v>3739</v>
      </c>
      <c r="O1049" s="374" t="s">
        <v>3740</v>
      </c>
      <c r="P1049" s="374" t="s">
        <v>2821</v>
      </c>
    </row>
    <row r="1050" spans="1:16" ht="12.75">
      <c r="A1050">
        <v>1043</v>
      </c>
      <c r="B1050" s="557" t="s">
        <v>4291</v>
      </c>
      <c r="C1050" t="s">
        <v>5396</v>
      </c>
      <c r="D1050" s="107" t="s">
        <v>1772</v>
      </c>
      <c r="E1050">
        <v>2200</v>
      </c>
      <c r="F1050" s="556">
        <v>13</v>
      </c>
      <c r="G1050" s="541">
        <v>6</v>
      </c>
      <c r="H1050" s="560">
        <v>0</v>
      </c>
      <c r="I1050" s="107">
        <v>1</v>
      </c>
      <c r="K1050" s="370">
        <v>4912</v>
      </c>
      <c r="L1050" s="371" t="s">
        <v>3741</v>
      </c>
      <c r="M1050" s="372" t="s">
        <v>2821</v>
      </c>
      <c r="N1050" s="373" t="s">
        <v>3742</v>
      </c>
      <c r="O1050" s="374" t="s">
        <v>3743</v>
      </c>
      <c r="P1050" s="374" t="s">
        <v>2821</v>
      </c>
    </row>
    <row r="1051" spans="1:16" ht="12.75">
      <c r="A1051">
        <v>1044</v>
      </c>
      <c r="B1051" s="557" t="s">
        <v>4289</v>
      </c>
      <c r="C1051" t="s">
        <v>5397</v>
      </c>
      <c r="D1051" s="107" t="s">
        <v>2439</v>
      </c>
      <c r="E1051">
        <v>10815</v>
      </c>
      <c r="F1051" s="556">
        <v>13</v>
      </c>
      <c r="G1051" s="541">
        <v>1.22</v>
      </c>
      <c r="H1051" s="560">
        <v>0</v>
      </c>
      <c r="I1051" s="107">
        <v>2</v>
      </c>
      <c r="K1051" s="370">
        <v>4913</v>
      </c>
      <c r="L1051" s="371" t="s">
        <v>3744</v>
      </c>
      <c r="M1051" s="372" t="s">
        <v>2821</v>
      </c>
      <c r="N1051" s="373" t="s">
        <v>3745</v>
      </c>
      <c r="O1051" s="374" t="s">
        <v>3746</v>
      </c>
      <c r="P1051" s="374" t="s">
        <v>2821</v>
      </c>
    </row>
    <row r="1052" spans="1:16" ht="12.75">
      <c r="A1052">
        <v>1045</v>
      </c>
      <c r="B1052" s="557">
        <v>1012</v>
      </c>
      <c r="C1052" t="s">
        <v>5398</v>
      </c>
      <c r="D1052" s="107" t="s">
        <v>2439</v>
      </c>
      <c r="E1052">
        <v>328</v>
      </c>
      <c r="F1052" s="556">
        <v>13</v>
      </c>
      <c r="G1052" s="541">
        <v>40.23</v>
      </c>
      <c r="H1052" s="560">
        <v>0</v>
      </c>
      <c r="I1052" s="107">
        <v>3</v>
      </c>
      <c r="K1052" s="370">
        <v>4914</v>
      </c>
      <c r="L1052" s="371" t="s">
        <v>3747</v>
      </c>
      <c r="M1052" s="372" t="s">
        <v>2821</v>
      </c>
      <c r="N1052" s="373" t="s">
        <v>3748</v>
      </c>
      <c r="O1052" s="374" t="s">
        <v>3749</v>
      </c>
      <c r="P1052" s="374" t="s">
        <v>2821</v>
      </c>
    </row>
    <row r="1053" spans="1:14" ht="12.75">
      <c r="A1053">
        <v>1046</v>
      </c>
      <c r="B1053" s="557">
        <v>1660</v>
      </c>
      <c r="C1053" t="s">
        <v>5399</v>
      </c>
      <c r="D1053" s="107" t="s">
        <v>2522</v>
      </c>
      <c r="E1053">
        <v>2</v>
      </c>
      <c r="F1053" s="556">
        <v>13</v>
      </c>
      <c r="G1053" s="541">
        <v>6500</v>
      </c>
      <c r="H1053" s="560">
        <v>0</v>
      </c>
      <c r="I1053" s="107">
        <v>1</v>
      </c>
      <c r="K1053" s="370">
        <v>4915</v>
      </c>
      <c r="L1053" s="371" t="s">
        <v>3750</v>
      </c>
      <c r="M1053" s="372" t="s">
        <v>2821</v>
      </c>
      <c r="N1053" s="373"/>
    </row>
    <row r="1054" spans="1:14" ht="12.75">
      <c r="A1054">
        <v>1047</v>
      </c>
      <c r="B1054" s="557">
        <v>1670</v>
      </c>
      <c r="C1054" t="s">
        <v>5400</v>
      </c>
      <c r="D1054" s="107" t="s">
        <v>2522</v>
      </c>
      <c r="E1054">
        <v>2</v>
      </c>
      <c r="F1054" s="556">
        <v>13</v>
      </c>
      <c r="G1054" s="541">
        <v>6500</v>
      </c>
      <c r="H1054" s="560">
        <v>0</v>
      </c>
      <c r="I1054" s="107">
        <v>1</v>
      </c>
      <c r="K1054" s="370">
        <v>4916</v>
      </c>
      <c r="L1054" s="371" t="s">
        <v>3751</v>
      </c>
      <c r="M1054" s="372" t="s">
        <v>2821</v>
      </c>
      <c r="N1054" s="373"/>
    </row>
    <row r="1055" spans="1:14" ht="12.75">
      <c r="A1055">
        <v>1048</v>
      </c>
      <c r="B1055" s="557" t="s">
        <v>5401</v>
      </c>
      <c r="C1055" t="s">
        <v>5402</v>
      </c>
      <c r="D1055" s="107" t="s">
        <v>2439</v>
      </c>
      <c r="E1055">
        <v>163</v>
      </c>
      <c r="F1055" s="556">
        <v>13</v>
      </c>
      <c r="G1055" s="541">
        <v>80</v>
      </c>
      <c r="H1055" s="560">
        <v>0</v>
      </c>
      <c r="I1055" s="107">
        <v>1</v>
      </c>
      <c r="K1055" s="370">
        <v>4920</v>
      </c>
      <c r="L1055" s="371" t="s">
        <v>3752</v>
      </c>
      <c r="M1055" s="372" t="s">
        <v>2821</v>
      </c>
      <c r="N1055" s="373"/>
    </row>
    <row r="1056" spans="1:14" ht="12.75">
      <c r="A1056">
        <v>1049</v>
      </c>
      <c r="B1056" s="557">
        <v>14012</v>
      </c>
      <c r="C1056" t="s">
        <v>5403</v>
      </c>
      <c r="D1056" s="107" t="s">
        <v>2439</v>
      </c>
      <c r="E1056">
        <v>100</v>
      </c>
      <c r="F1056" s="556">
        <v>13</v>
      </c>
      <c r="G1056" s="541">
        <v>129.75</v>
      </c>
      <c r="H1056" s="560">
        <v>0</v>
      </c>
      <c r="I1056" s="107">
        <v>2</v>
      </c>
      <c r="K1056" s="370">
        <v>4925</v>
      </c>
      <c r="L1056" s="371" t="s">
        <v>3753</v>
      </c>
      <c r="M1056" s="372" t="s">
        <v>2821</v>
      </c>
      <c r="N1056" s="373"/>
    </row>
    <row r="1057" spans="1:14" ht="12.75">
      <c r="A1057">
        <v>1050</v>
      </c>
      <c r="B1057" s="557">
        <v>2263</v>
      </c>
      <c r="C1057" t="s">
        <v>5404</v>
      </c>
      <c r="D1057" s="107" t="s">
        <v>2439</v>
      </c>
      <c r="E1057">
        <v>700</v>
      </c>
      <c r="F1057" s="556">
        <v>13</v>
      </c>
      <c r="G1057" s="541">
        <v>18.5</v>
      </c>
      <c r="H1057" s="560">
        <v>0</v>
      </c>
      <c r="I1057" s="107">
        <v>1</v>
      </c>
      <c r="K1057" s="370">
        <v>4926</v>
      </c>
      <c r="L1057" s="371" t="s">
        <v>3754</v>
      </c>
      <c r="M1057" s="372" t="s">
        <v>2821</v>
      </c>
      <c r="N1057" s="373"/>
    </row>
    <row r="1058" spans="1:14" ht="12.75">
      <c r="A1058">
        <v>1051</v>
      </c>
      <c r="B1058" s="557">
        <v>460</v>
      </c>
      <c r="C1058" t="s">
        <v>5405</v>
      </c>
      <c r="D1058" s="107" t="s">
        <v>2439</v>
      </c>
      <c r="E1058">
        <v>111</v>
      </c>
      <c r="F1058" s="556">
        <v>13</v>
      </c>
      <c r="G1058" s="541">
        <v>116.54</v>
      </c>
      <c r="H1058" s="560">
        <v>0</v>
      </c>
      <c r="I1058" s="107">
        <v>3</v>
      </c>
      <c r="K1058" s="370">
        <v>4927</v>
      </c>
      <c r="L1058" s="371" t="s">
        <v>3755</v>
      </c>
      <c r="M1058" s="372" t="s">
        <v>2821</v>
      </c>
      <c r="N1058" s="373"/>
    </row>
    <row r="1059" spans="1:14" ht="12.75">
      <c r="A1059">
        <v>1052</v>
      </c>
      <c r="B1059" s="557" t="s">
        <v>5406</v>
      </c>
      <c r="C1059" t="s">
        <v>5407</v>
      </c>
      <c r="D1059" s="107" t="s">
        <v>3416</v>
      </c>
      <c r="E1059">
        <v>109</v>
      </c>
      <c r="F1059" s="556">
        <v>13</v>
      </c>
      <c r="G1059" s="541">
        <v>117.8</v>
      </c>
      <c r="H1059" s="560">
        <v>0</v>
      </c>
      <c r="I1059" s="107">
        <v>1</v>
      </c>
      <c r="K1059" s="370">
        <v>4928</v>
      </c>
      <c r="L1059" s="371" t="s">
        <v>3756</v>
      </c>
      <c r="M1059" s="372" t="s">
        <v>2821</v>
      </c>
      <c r="N1059" s="373"/>
    </row>
    <row r="1060" spans="1:14" ht="12.75">
      <c r="A1060">
        <v>1053</v>
      </c>
      <c r="B1060" s="557">
        <v>2565</v>
      </c>
      <c r="C1060" t="s">
        <v>5408</v>
      </c>
      <c r="D1060" s="107" t="s">
        <v>2522</v>
      </c>
      <c r="E1060">
        <v>66</v>
      </c>
      <c r="F1060" s="556">
        <v>13</v>
      </c>
      <c r="G1060" s="541">
        <v>193.98</v>
      </c>
      <c r="H1060" s="560">
        <v>0</v>
      </c>
      <c r="I1060" s="107">
        <v>13</v>
      </c>
      <c r="K1060" s="370">
        <v>4929</v>
      </c>
      <c r="L1060" s="371" t="s">
        <v>3757</v>
      </c>
      <c r="M1060" s="372" t="s">
        <v>2821</v>
      </c>
      <c r="N1060" s="373"/>
    </row>
    <row r="1061" spans="1:14" ht="12.75">
      <c r="A1061">
        <v>1054</v>
      </c>
      <c r="B1061" s="557">
        <v>1514</v>
      </c>
      <c r="C1061" t="s">
        <v>5409</v>
      </c>
      <c r="D1061" s="107" t="s">
        <v>2522</v>
      </c>
      <c r="E1061">
        <v>2</v>
      </c>
      <c r="F1061" s="556">
        <v>13</v>
      </c>
      <c r="G1061" s="541">
        <v>6400</v>
      </c>
      <c r="H1061" s="560">
        <v>0</v>
      </c>
      <c r="I1061" s="107">
        <v>1</v>
      </c>
      <c r="K1061" s="370">
        <v>4930</v>
      </c>
      <c r="L1061" s="371" t="s">
        <v>3758</v>
      </c>
      <c r="M1061" s="372" t="s">
        <v>2821</v>
      </c>
      <c r="N1061" s="373"/>
    </row>
    <row r="1062" spans="1:14" ht="12.75">
      <c r="A1062">
        <v>1055</v>
      </c>
      <c r="B1062" s="557">
        <v>16531</v>
      </c>
      <c r="C1062" t="s">
        <v>4217</v>
      </c>
      <c r="D1062" s="107" t="s">
        <v>2522</v>
      </c>
      <c r="E1062">
        <v>11</v>
      </c>
      <c r="F1062" s="556">
        <v>13</v>
      </c>
      <c r="G1062" s="541">
        <v>1145.24</v>
      </c>
      <c r="H1062" s="560">
        <v>0</v>
      </c>
      <c r="I1062" s="107">
        <v>1</v>
      </c>
      <c r="K1062" s="370">
        <v>4931</v>
      </c>
      <c r="L1062" s="371" t="s">
        <v>3759</v>
      </c>
      <c r="M1062" s="372" t="s">
        <v>2821</v>
      </c>
      <c r="N1062" s="373"/>
    </row>
    <row r="1063" spans="1:14" ht="12.75">
      <c r="A1063">
        <v>1056</v>
      </c>
      <c r="B1063" s="557">
        <v>8305</v>
      </c>
      <c r="C1063" t="s">
        <v>5410</v>
      </c>
      <c r="D1063" s="107" t="s">
        <v>2441</v>
      </c>
      <c r="E1063">
        <v>2</v>
      </c>
      <c r="F1063" s="556">
        <v>13</v>
      </c>
      <c r="G1063" s="541">
        <v>6250</v>
      </c>
      <c r="H1063" s="560">
        <v>0</v>
      </c>
      <c r="I1063" s="107">
        <v>2</v>
      </c>
      <c r="K1063" s="370">
        <v>4932</v>
      </c>
      <c r="L1063" s="371" t="s">
        <v>3760</v>
      </c>
      <c r="M1063" s="372" t="s">
        <v>2821</v>
      </c>
      <c r="N1063" s="373"/>
    </row>
    <row r="1064" spans="1:14" ht="12.75">
      <c r="A1064">
        <v>1057</v>
      </c>
      <c r="B1064" s="557" t="s">
        <v>5411</v>
      </c>
      <c r="C1064" t="s">
        <v>5412</v>
      </c>
      <c r="D1064" s="107" t="s">
        <v>2522</v>
      </c>
      <c r="E1064">
        <v>23</v>
      </c>
      <c r="F1064" s="556">
        <v>12</v>
      </c>
      <c r="G1064" s="541">
        <v>538</v>
      </c>
      <c r="H1064" s="560">
        <v>0</v>
      </c>
      <c r="I1064" s="107">
        <v>1</v>
      </c>
      <c r="K1064" s="370">
        <v>4933</v>
      </c>
      <c r="L1064" s="371" t="s">
        <v>3761</v>
      </c>
      <c r="M1064" s="372" t="s">
        <v>2821</v>
      </c>
      <c r="N1064" s="373"/>
    </row>
    <row r="1065" spans="1:14" ht="12.75">
      <c r="A1065">
        <v>1058</v>
      </c>
      <c r="B1065" s="557">
        <v>14130</v>
      </c>
      <c r="C1065" t="s">
        <v>5413</v>
      </c>
      <c r="D1065" s="107" t="s">
        <v>2522</v>
      </c>
      <c r="E1065">
        <v>7</v>
      </c>
      <c r="F1065" s="556">
        <v>12</v>
      </c>
      <c r="G1065" s="541">
        <v>1757.14</v>
      </c>
      <c r="H1065" s="560">
        <v>0</v>
      </c>
      <c r="I1065" s="107">
        <v>2</v>
      </c>
      <c r="K1065" s="370">
        <v>4934</v>
      </c>
      <c r="L1065" s="371" t="s">
        <v>2907</v>
      </c>
      <c r="M1065" s="372" t="s">
        <v>2821</v>
      </c>
      <c r="N1065" s="373"/>
    </row>
    <row r="1066" spans="1:14" ht="12.75">
      <c r="A1066">
        <v>1059</v>
      </c>
      <c r="B1066" s="557">
        <v>1884</v>
      </c>
      <c r="C1066" t="s">
        <v>5414</v>
      </c>
      <c r="D1066" s="107" t="s">
        <v>2439</v>
      </c>
      <c r="E1066">
        <v>409</v>
      </c>
      <c r="F1066" s="556">
        <v>12</v>
      </c>
      <c r="G1066" s="541">
        <v>30</v>
      </c>
      <c r="H1066" s="560">
        <v>0</v>
      </c>
      <c r="I1066" s="107">
        <v>1</v>
      </c>
      <c r="K1066" s="370">
        <v>4935</v>
      </c>
      <c r="L1066" s="371" t="s">
        <v>2908</v>
      </c>
      <c r="M1066" s="372" t="s">
        <v>2819</v>
      </c>
      <c r="N1066" s="373"/>
    </row>
    <row r="1067" spans="1:14" ht="12.75">
      <c r="A1067">
        <v>1060</v>
      </c>
      <c r="B1067" s="557">
        <v>8130</v>
      </c>
      <c r="C1067" t="s">
        <v>5415</v>
      </c>
      <c r="D1067" s="107" t="s">
        <v>2522</v>
      </c>
      <c r="E1067">
        <v>225</v>
      </c>
      <c r="F1067" s="556">
        <v>12</v>
      </c>
      <c r="G1067" s="541">
        <v>54.16</v>
      </c>
      <c r="H1067" s="560">
        <v>0</v>
      </c>
      <c r="I1067" s="107">
        <v>3</v>
      </c>
      <c r="K1067" s="370">
        <v>4936</v>
      </c>
      <c r="L1067" s="371" t="s">
        <v>2909</v>
      </c>
      <c r="M1067" s="372" t="s">
        <v>2819</v>
      </c>
      <c r="N1067" s="373"/>
    </row>
    <row r="1068" spans="1:14" ht="12.75">
      <c r="A1068">
        <v>1061</v>
      </c>
      <c r="B1068" s="557" t="s">
        <v>4107</v>
      </c>
      <c r="C1068" t="s">
        <v>4108</v>
      </c>
      <c r="D1068" s="107" t="s">
        <v>2522</v>
      </c>
      <c r="E1068">
        <v>18</v>
      </c>
      <c r="F1068" s="556">
        <v>12</v>
      </c>
      <c r="G1068" s="541">
        <v>676.67</v>
      </c>
      <c r="H1068" s="560">
        <v>0</v>
      </c>
      <c r="I1068" s="107">
        <v>6</v>
      </c>
      <c r="K1068" s="370">
        <v>4939</v>
      </c>
      <c r="L1068" s="371" t="s">
        <v>2910</v>
      </c>
      <c r="M1068" s="372" t="s">
        <v>2821</v>
      </c>
      <c r="N1068" s="373"/>
    </row>
    <row r="1069" spans="1:14" ht="12.75">
      <c r="A1069">
        <v>1062</v>
      </c>
      <c r="B1069" s="557">
        <v>1983</v>
      </c>
      <c r="C1069" t="s">
        <v>5416</v>
      </c>
      <c r="D1069" s="107" t="s">
        <v>2522</v>
      </c>
      <c r="E1069">
        <v>972</v>
      </c>
      <c r="F1069" s="556">
        <v>12</v>
      </c>
      <c r="G1069" s="541">
        <v>12.53</v>
      </c>
      <c r="H1069" s="560">
        <v>0</v>
      </c>
      <c r="I1069" s="107">
        <v>15</v>
      </c>
      <c r="K1069" s="370">
        <v>4940</v>
      </c>
      <c r="L1069" s="371" t="s">
        <v>2911</v>
      </c>
      <c r="M1069" s="372" t="s">
        <v>2819</v>
      </c>
      <c r="N1069" s="373"/>
    </row>
    <row r="1070" spans="1:14" ht="12.75">
      <c r="A1070">
        <v>1063</v>
      </c>
      <c r="B1070" s="557">
        <v>2570</v>
      </c>
      <c r="C1070" t="s">
        <v>5417</v>
      </c>
      <c r="D1070" s="107" t="s">
        <v>2441</v>
      </c>
      <c r="E1070">
        <v>1</v>
      </c>
      <c r="F1070" s="556">
        <v>12</v>
      </c>
      <c r="G1070" s="541">
        <v>12132</v>
      </c>
      <c r="H1070" s="560">
        <v>0</v>
      </c>
      <c r="I1070" s="107">
        <v>1</v>
      </c>
      <c r="K1070" s="370">
        <v>4941</v>
      </c>
      <c r="L1070" s="371" t="s">
        <v>2912</v>
      </c>
      <c r="M1070" s="372" t="s">
        <v>2821</v>
      </c>
      <c r="N1070" s="373"/>
    </row>
    <row r="1071" spans="1:14" ht="12.75">
      <c r="A1071">
        <v>1064</v>
      </c>
      <c r="B1071" s="557">
        <v>16016</v>
      </c>
      <c r="C1071" t="s">
        <v>4326</v>
      </c>
      <c r="D1071" s="107" t="s">
        <v>2439</v>
      </c>
      <c r="E1071">
        <v>55</v>
      </c>
      <c r="F1071" s="556">
        <v>12</v>
      </c>
      <c r="G1071" s="541">
        <v>220</v>
      </c>
      <c r="H1071" s="560">
        <v>0</v>
      </c>
      <c r="I1071" s="107">
        <v>1</v>
      </c>
      <c r="K1071" s="370">
        <v>4942</v>
      </c>
      <c r="L1071" s="371" t="s">
        <v>2913</v>
      </c>
      <c r="M1071" s="372" t="s">
        <v>2821</v>
      </c>
      <c r="N1071" s="373"/>
    </row>
    <row r="1072" spans="1:14" ht="12.75">
      <c r="A1072">
        <v>1065</v>
      </c>
      <c r="B1072" s="557">
        <v>1641</v>
      </c>
      <c r="C1072" t="s">
        <v>5418</v>
      </c>
      <c r="D1072" s="107" t="s">
        <v>2522</v>
      </c>
      <c r="E1072">
        <v>4</v>
      </c>
      <c r="F1072" s="556">
        <v>12</v>
      </c>
      <c r="G1072" s="541">
        <v>3003.47</v>
      </c>
      <c r="H1072" s="560">
        <v>0</v>
      </c>
      <c r="I1072" s="107">
        <v>2</v>
      </c>
      <c r="K1072" s="370">
        <v>4943</v>
      </c>
      <c r="L1072" s="371" t="s">
        <v>2914</v>
      </c>
      <c r="M1072" s="372" t="s">
        <v>2821</v>
      </c>
      <c r="N1072" s="373"/>
    </row>
    <row r="1073" spans="1:14" ht="12.75">
      <c r="A1073">
        <v>1066</v>
      </c>
      <c r="B1073" s="557">
        <v>14027</v>
      </c>
      <c r="C1073" t="s">
        <v>5419</v>
      </c>
      <c r="D1073" s="107" t="s">
        <v>2522</v>
      </c>
      <c r="E1073">
        <v>2</v>
      </c>
      <c r="F1073" s="556">
        <v>12</v>
      </c>
      <c r="G1073" s="541">
        <v>6000</v>
      </c>
      <c r="H1073" s="560">
        <v>0</v>
      </c>
      <c r="I1073" s="107">
        <v>1</v>
      </c>
      <c r="K1073" s="370">
        <v>4950</v>
      </c>
      <c r="L1073" s="371" t="s">
        <v>2915</v>
      </c>
      <c r="M1073" s="372" t="s">
        <v>2821</v>
      </c>
      <c r="N1073" s="373"/>
    </row>
    <row r="1074" spans="1:16" ht="12.75">
      <c r="A1074">
        <v>1067</v>
      </c>
      <c r="B1074" s="557" t="s">
        <v>4282</v>
      </c>
      <c r="C1074" t="s">
        <v>5420</v>
      </c>
      <c r="D1074" s="107" t="s">
        <v>2522</v>
      </c>
      <c r="E1074">
        <v>3</v>
      </c>
      <c r="F1074" s="556">
        <v>12</v>
      </c>
      <c r="G1074" s="541">
        <v>4000</v>
      </c>
      <c r="H1074" s="560">
        <v>0</v>
      </c>
      <c r="I1074" s="107">
        <v>1</v>
      </c>
      <c r="K1074" s="370">
        <v>4960</v>
      </c>
      <c r="L1074" s="371" t="s">
        <v>2916</v>
      </c>
      <c r="M1074" s="372" t="s">
        <v>3173</v>
      </c>
      <c r="N1074" s="373" t="s">
        <v>2917</v>
      </c>
      <c r="O1074" s="374" t="s">
        <v>2916</v>
      </c>
      <c r="P1074" s="374" t="s">
        <v>3175</v>
      </c>
    </row>
    <row r="1075" spans="1:14" ht="12.75">
      <c r="A1075">
        <v>1068</v>
      </c>
      <c r="B1075" s="557" t="s">
        <v>5421</v>
      </c>
      <c r="C1075" t="s">
        <v>5422</v>
      </c>
      <c r="D1075" s="107" t="s">
        <v>2441</v>
      </c>
      <c r="E1075">
        <v>1</v>
      </c>
      <c r="F1075" s="556">
        <v>12</v>
      </c>
      <c r="G1075" s="541">
        <v>12000</v>
      </c>
      <c r="H1075" s="560">
        <v>0</v>
      </c>
      <c r="I1075" s="107">
        <v>1</v>
      </c>
      <c r="K1075" s="370">
        <v>5026</v>
      </c>
      <c r="L1075" s="371" t="s">
        <v>2918</v>
      </c>
      <c r="M1075" s="372" t="s">
        <v>2821</v>
      </c>
      <c r="N1075" s="373"/>
    </row>
    <row r="1076" spans="1:14" ht="12.75">
      <c r="A1076">
        <v>1069</v>
      </c>
      <c r="B1076" s="557" t="s">
        <v>5423</v>
      </c>
      <c r="C1076" t="s">
        <v>5424</v>
      </c>
      <c r="D1076" s="107" t="s">
        <v>2522</v>
      </c>
      <c r="E1076">
        <v>12</v>
      </c>
      <c r="F1076" s="556">
        <v>12</v>
      </c>
      <c r="G1076" s="541">
        <v>1000</v>
      </c>
      <c r="H1076" s="560">
        <v>0</v>
      </c>
      <c r="I1076" s="107">
        <v>1</v>
      </c>
      <c r="K1076" s="370">
        <v>5226</v>
      </c>
      <c r="L1076" s="371" t="s">
        <v>2919</v>
      </c>
      <c r="M1076" s="372" t="s">
        <v>2821</v>
      </c>
      <c r="N1076" s="373"/>
    </row>
    <row r="1077" spans="1:16" ht="12.75">
      <c r="A1077">
        <v>1070</v>
      </c>
      <c r="B1077" s="557" t="s">
        <v>4299</v>
      </c>
      <c r="C1077" t="s">
        <v>5425</v>
      </c>
      <c r="D1077" s="107" t="s">
        <v>1772</v>
      </c>
      <c r="E1077">
        <v>234</v>
      </c>
      <c r="F1077" s="556">
        <v>12</v>
      </c>
      <c r="G1077" s="541">
        <v>50</v>
      </c>
      <c r="H1077" s="560">
        <v>0</v>
      </c>
      <c r="I1077" s="107">
        <v>1</v>
      </c>
      <c r="K1077" s="370">
        <v>5598</v>
      </c>
      <c r="L1077" s="371" t="s">
        <v>2920</v>
      </c>
      <c r="M1077" s="372" t="s">
        <v>2821</v>
      </c>
      <c r="N1077" s="373" t="s">
        <v>2921</v>
      </c>
      <c r="O1077" s="374" t="s">
        <v>2922</v>
      </c>
      <c r="P1077" s="374" t="s">
        <v>2821</v>
      </c>
    </row>
    <row r="1078" spans="1:14" ht="12.75">
      <c r="A1078">
        <v>1071</v>
      </c>
      <c r="B1078" s="557">
        <v>16042</v>
      </c>
      <c r="C1078" t="s">
        <v>4316</v>
      </c>
      <c r="D1078" s="107" t="s">
        <v>2522</v>
      </c>
      <c r="E1078">
        <v>2</v>
      </c>
      <c r="F1078" s="556">
        <v>12</v>
      </c>
      <c r="G1078" s="541">
        <v>5800</v>
      </c>
      <c r="H1078" s="560">
        <v>0</v>
      </c>
      <c r="I1078" s="107">
        <v>1</v>
      </c>
      <c r="K1078" s="370">
        <v>5599</v>
      </c>
      <c r="L1078" s="371" t="s">
        <v>2923</v>
      </c>
      <c r="M1078" s="372" t="s">
        <v>2821</v>
      </c>
      <c r="N1078" s="373"/>
    </row>
    <row r="1079" spans="1:14" ht="12.75">
      <c r="A1079">
        <v>1072</v>
      </c>
      <c r="B1079" s="557" t="s">
        <v>4330</v>
      </c>
      <c r="C1079" t="s">
        <v>5426</v>
      </c>
      <c r="D1079" s="107" t="s">
        <v>2522</v>
      </c>
      <c r="E1079">
        <v>23</v>
      </c>
      <c r="F1079" s="556">
        <v>12</v>
      </c>
      <c r="G1079" s="541">
        <v>500</v>
      </c>
      <c r="H1079" s="560">
        <v>0</v>
      </c>
      <c r="I1079" s="107">
        <v>2</v>
      </c>
      <c r="K1079" s="370">
        <v>5738</v>
      </c>
      <c r="L1079" s="371" t="s">
        <v>2924</v>
      </c>
      <c r="M1079" s="372" t="s">
        <v>2821</v>
      </c>
      <c r="N1079" s="373"/>
    </row>
    <row r="1080" spans="1:16" ht="12.75">
      <c r="A1080">
        <v>1073</v>
      </c>
      <c r="B1080" s="557" t="s">
        <v>4011</v>
      </c>
      <c r="C1080" t="s">
        <v>5427</v>
      </c>
      <c r="D1080" s="107" t="s">
        <v>1771</v>
      </c>
      <c r="E1080">
        <v>265</v>
      </c>
      <c r="F1080" s="556">
        <v>11</v>
      </c>
      <c r="G1080" s="541">
        <v>43.13</v>
      </c>
      <c r="H1080" s="560">
        <v>0</v>
      </c>
      <c r="I1080" s="107">
        <v>1</v>
      </c>
      <c r="K1080" s="370">
        <v>5950</v>
      </c>
      <c r="L1080" s="371" t="s">
        <v>2925</v>
      </c>
      <c r="M1080" s="372" t="s">
        <v>3173</v>
      </c>
      <c r="N1080" s="373" t="s">
        <v>2926</v>
      </c>
      <c r="O1080" s="374" t="s">
        <v>2925</v>
      </c>
      <c r="P1080" s="374" t="s">
        <v>3175</v>
      </c>
    </row>
    <row r="1081" spans="1:16" ht="12.75">
      <c r="A1081">
        <v>1074</v>
      </c>
      <c r="B1081" s="557">
        <v>1215</v>
      </c>
      <c r="C1081" t="s">
        <v>5428</v>
      </c>
      <c r="D1081" s="107" t="s">
        <v>2522</v>
      </c>
      <c r="E1081">
        <v>2</v>
      </c>
      <c r="F1081" s="556">
        <v>11</v>
      </c>
      <c r="G1081" s="541">
        <v>5700</v>
      </c>
      <c r="H1081" s="560">
        <v>0</v>
      </c>
      <c r="I1081" s="107">
        <v>1</v>
      </c>
      <c r="K1081" s="370">
        <v>5952</v>
      </c>
      <c r="L1081" s="371" t="s">
        <v>2927</v>
      </c>
      <c r="M1081" s="372" t="s">
        <v>3173</v>
      </c>
      <c r="N1081" s="373" t="s">
        <v>2928</v>
      </c>
      <c r="O1081" s="374" t="s">
        <v>2927</v>
      </c>
      <c r="P1081" s="374" t="s">
        <v>3175</v>
      </c>
    </row>
    <row r="1082" spans="1:16" ht="12.75">
      <c r="A1082">
        <v>1075</v>
      </c>
      <c r="B1082" s="557" t="s">
        <v>5429</v>
      </c>
      <c r="C1082" t="s">
        <v>5430</v>
      </c>
      <c r="D1082" s="107" t="s">
        <v>1773</v>
      </c>
      <c r="E1082">
        <v>56</v>
      </c>
      <c r="F1082" s="556">
        <v>11</v>
      </c>
      <c r="G1082" s="541">
        <v>203</v>
      </c>
      <c r="H1082" s="560">
        <v>0</v>
      </c>
      <c r="I1082" s="107">
        <v>1</v>
      </c>
      <c r="K1082" s="370">
        <v>5953</v>
      </c>
      <c r="L1082" s="371" t="s">
        <v>2929</v>
      </c>
      <c r="M1082" s="372" t="s">
        <v>3173</v>
      </c>
      <c r="N1082" s="373" t="s">
        <v>2930</v>
      </c>
      <c r="O1082" s="374" t="s">
        <v>2929</v>
      </c>
      <c r="P1082" s="374" t="s">
        <v>3175</v>
      </c>
    </row>
    <row r="1083" spans="1:16" ht="12.75">
      <c r="A1083">
        <v>1076</v>
      </c>
      <c r="B1083" s="557">
        <v>14637</v>
      </c>
      <c r="C1083" t="s">
        <v>5431</v>
      </c>
      <c r="D1083" s="107" t="s">
        <v>2522</v>
      </c>
      <c r="E1083">
        <v>2</v>
      </c>
      <c r="F1083" s="556">
        <v>11</v>
      </c>
      <c r="G1083" s="541">
        <v>5600</v>
      </c>
      <c r="H1083" s="560">
        <v>0</v>
      </c>
      <c r="I1083" s="107">
        <v>1</v>
      </c>
      <c r="K1083" s="370">
        <v>5956</v>
      </c>
      <c r="L1083" s="371" t="s">
        <v>2931</v>
      </c>
      <c r="M1083" s="372" t="s">
        <v>2720</v>
      </c>
      <c r="N1083" s="373" t="s">
        <v>2932</v>
      </c>
      <c r="O1083" s="374" t="s">
        <v>2931</v>
      </c>
      <c r="P1083" s="374" t="s">
        <v>2722</v>
      </c>
    </row>
    <row r="1084" spans="1:16" ht="12.75">
      <c r="A1084">
        <v>1077</v>
      </c>
      <c r="B1084" s="557">
        <v>2742</v>
      </c>
      <c r="C1084" t="s">
        <v>5432</v>
      </c>
      <c r="D1084" s="107" t="s">
        <v>3417</v>
      </c>
      <c r="E1084">
        <v>12400</v>
      </c>
      <c r="F1084" s="556">
        <v>11</v>
      </c>
      <c r="G1084" s="541">
        <v>0.9</v>
      </c>
      <c r="H1084" s="560">
        <v>0</v>
      </c>
      <c r="I1084" s="107">
        <v>6</v>
      </c>
      <c r="K1084" s="370">
        <v>5960</v>
      </c>
      <c r="L1084" s="371" t="s">
        <v>2933</v>
      </c>
      <c r="M1084" s="372" t="s">
        <v>3164</v>
      </c>
      <c r="N1084" s="373" t="s">
        <v>2934</v>
      </c>
      <c r="O1084" s="374" t="s">
        <v>2933</v>
      </c>
      <c r="P1084" s="374" t="s">
        <v>3166</v>
      </c>
    </row>
    <row r="1085" spans="1:16" ht="12.75">
      <c r="A1085">
        <v>1078</v>
      </c>
      <c r="B1085" s="557" t="s">
        <v>4158</v>
      </c>
      <c r="C1085" t="s">
        <v>4159</v>
      </c>
      <c r="D1085" s="107" t="s">
        <v>1772</v>
      </c>
      <c r="E1085">
        <v>2225</v>
      </c>
      <c r="F1085" s="556">
        <v>11</v>
      </c>
      <c r="G1085" s="541">
        <v>5</v>
      </c>
      <c r="H1085" s="560">
        <v>0</v>
      </c>
      <c r="I1085" s="107">
        <v>1</v>
      </c>
      <c r="K1085" s="370">
        <v>5966</v>
      </c>
      <c r="L1085" s="371" t="s">
        <v>2935</v>
      </c>
      <c r="M1085" s="372" t="s">
        <v>3164</v>
      </c>
      <c r="N1085" s="373" t="s">
        <v>2936</v>
      </c>
      <c r="O1085" s="374" t="s">
        <v>2935</v>
      </c>
      <c r="P1085" s="374" t="s">
        <v>3166</v>
      </c>
    </row>
    <row r="1086" spans="1:16" ht="12.75">
      <c r="A1086">
        <v>1079</v>
      </c>
      <c r="B1086" s="557">
        <v>14505</v>
      </c>
      <c r="C1086" t="s">
        <v>5433</v>
      </c>
      <c r="D1086" s="107" t="s">
        <v>2439</v>
      </c>
      <c r="E1086">
        <v>55</v>
      </c>
      <c r="F1086" s="556">
        <v>11</v>
      </c>
      <c r="G1086" s="541">
        <v>200</v>
      </c>
      <c r="H1086" s="560">
        <v>0</v>
      </c>
      <c r="I1086" s="107">
        <v>1</v>
      </c>
      <c r="K1086" s="370">
        <v>5980</v>
      </c>
      <c r="L1086" s="371" t="s">
        <v>2937</v>
      </c>
      <c r="M1086" s="372" t="s">
        <v>3164</v>
      </c>
      <c r="N1086" s="373" t="s">
        <v>2938</v>
      </c>
      <c r="O1086" s="374" t="s">
        <v>2937</v>
      </c>
      <c r="P1086" s="374" t="s">
        <v>3166</v>
      </c>
    </row>
    <row r="1087" spans="1:16" ht="12.75">
      <c r="A1087">
        <v>1080</v>
      </c>
      <c r="B1087" s="557">
        <v>6517</v>
      </c>
      <c r="C1087" t="s">
        <v>5434</v>
      </c>
      <c r="D1087" s="107" t="s">
        <v>2439</v>
      </c>
      <c r="E1087">
        <v>6716</v>
      </c>
      <c r="F1087" s="556">
        <v>11</v>
      </c>
      <c r="G1087" s="541">
        <v>1.63</v>
      </c>
      <c r="H1087" s="560">
        <v>0</v>
      </c>
      <c r="I1087" s="107">
        <v>11</v>
      </c>
      <c r="K1087" s="370">
        <v>5981</v>
      </c>
      <c r="L1087" s="371" t="s">
        <v>2542</v>
      </c>
      <c r="M1087" s="372" t="s">
        <v>3173</v>
      </c>
      <c r="N1087" s="373" t="s">
        <v>2543</v>
      </c>
      <c r="O1087" s="374" t="s">
        <v>2542</v>
      </c>
      <c r="P1087" s="374" t="s">
        <v>3175</v>
      </c>
    </row>
    <row r="1088" spans="1:16" ht="12.75">
      <c r="A1088">
        <v>1081</v>
      </c>
      <c r="B1088" s="557">
        <v>14153</v>
      </c>
      <c r="C1088" t="s">
        <v>5435</v>
      </c>
      <c r="D1088" s="107" t="s">
        <v>2522</v>
      </c>
      <c r="E1088">
        <v>3</v>
      </c>
      <c r="F1088" s="556">
        <v>11</v>
      </c>
      <c r="G1088" s="541">
        <v>3526.67</v>
      </c>
      <c r="H1088" s="560">
        <v>0</v>
      </c>
      <c r="I1088" s="107">
        <v>2</v>
      </c>
      <c r="K1088" s="370">
        <v>5982</v>
      </c>
      <c r="L1088" s="371" t="s">
        <v>2544</v>
      </c>
      <c r="M1088" s="372" t="s">
        <v>3173</v>
      </c>
      <c r="N1088" s="373" t="s">
        <v>2545</v>
      </c>
      <c r="O1088" s="374" t="s">
        <v>2544</v>
      </c>
      <c r="P1088" s="374" t="s">
        <v>3175</v>
      </c>
    </row>
    <row r="1089" spans="1:16" ht="12.75">
      <c r="A1089">
        <v>1082</v>
      </c>
      <c r="B1089" s="557" t="s">
        <v>4184</v>
      </c>
      <c r="C1089" t="s">
        <v>5436</v>
      </c>
      <c r="D1089" s="107" t="s">
        <v>2522</v>
      </c>
      <c r="E1089">
        <v>36</v>
      </c>
      <c r="F1089" s="556">
        <v>11</v>
      </c>
      <c r="G1089" s="541">
        <v>293.06</v>
      </c>
      <c r="H1089" s="560">
        <v>0</v>
      </c>
      <c r="I1089" s="107">
        <v>5</v>
      </c>
      <c r="K1089" s="370">
        <v>5985</v>
      </c>
      <c r="L1089" s="371" t="s">
        <v>2546</v>
      </c>
      <c r="M1089" s="372" t="s">
        <v>3173</v>
      </c>
      <c r="N1089" s="373" t="s">
        <v>2547</v>
      </c>
      <c r="O1089" s="374" t="s">
        <v>2546</v>
      </c>
      <c r="P1089" s="374" t="s">
        <v>3175</v>
      </c>
    </row>
    <row r="1090" spans="1:16" ht="12.75">
      <c r="A1090">
        <v>1083</v>
      </c>
      <c r="B1090" s="557">
        <v>1608</v>
      </c>
      <c r="C1090" t="s">
        <v>5437</v>
      </c>
      <c r="D1090" s="107" t="s">
        <v>2522</v>
      </c>
      <c r="E1090">
        <v>1</v>
      </c>
      <c r="F1090" s="556">
        <v>11</v>
      </c>
      <c r="G1090" s="541">
        <v>10500</v>
      </c>
      <c r="H1090" s="560">
        <v>0</v>
      </c>
      <c r="I1090" s="107">
        <v>1</v>
      </c>
      <c r="K1090" s="370">
        <v>5989</v>
      </c>
      <c r="L1090" s="371" t="s">
        <v>2548</v>
      </c>
      <c r="M1090" s="372" t="s">
        <v>3173</v>
      </c>
      <c r="N1090" s="373" t="s">
        <v>2549</v>
      </c>
      <c r="O1090" s="374" t="s">
        <v>2548</v>
      </c>
      <c r="P1090" s="374" t="s">
        <v>3175</v>
      </c>
    </row>
    <row r="1091" spans="1:16" ht="12.75">
      <c r="A1091">
        <v>1084</v>
      </c>
      <c r="B1091" s="557">
        <v>8707</v>
      </c>
      <c r="C1091" t="s">
        <v>5438</v>
      </c>
      <c r="D1091" s="107" t="s">
        <v>2522</v>
      </c>
      <c r="E1091">
        <v>3</v>
      </c>
      <c r="F1091" s="556">
        <v>11</v>
      </c>
      <c r="G1091" s="541">
        <v>3500</v>
      </c>
      <c r="H1091" s="560">
        <v>0</v>
      </c>
      <c r="I1091" s="107">
        <v>1</v>
      </c>
      <c r="K1091" s="370">
        <v>5990</v>
      </c>
      <c r="L1091" s="371" t="s">
        <v>2550</v>
      </c>
      <c r="M1091" s="372" t="s">
        <v>3173</v>
      </c>
      <c r="N1091" s="373" t="s">
        <v>2551</v>
      </c>
      <c r="O1091" s="374" t="s">
        <v>2550</v>
      </c>
      <c r="P1091" s="374" t="s">
        <v>3175</v>
      </c>
    </row>
    <row r="1092" spans="1:16" ht="12.75">
      <c r="A1092">
        <v>1085</v>
      </c>
      <c r="B1092" s="557" t="s">
        <v>4211</v>
      </c>
      <c r="C1092" t="s">
        <v>5439</v>
      </c>
      <c r="D1092" s="107" t="s">
        <v>2522</v>
      </c>
      <c r="E1092">
        <v>45</v>
      </c>
      <c r="F1092" s="556">
        <v>10</v>
      </c>
      <c r="G1092" s="541">
        <v>232.67</v>
      </c>
      <c r="H1092" s="560">
        <v>0</v>
      </c>
      <c r="I1092" s="107">
        <v>7</v>
      </c>
      <c r="K1092" s="370">
        <v>5992</v>
      </c>
      <c r="L1092" s="371" t="s">
        <v>2552</v>
      </c>
      <c r="M1092" s="372" t="s">
        <v>3164</v>
      </c>
      <c r="N1092" s="373" t="s">
        <v>2553</v>
      </c>
      <c r="O1092" s="374" t="s">
        <v>2552</v>
      </c>
      <c r="P1092" s="374" t="s">
        <v>3166</v>
      </c>
    </row>
    <row r="1093" spans="1:16" ht="12.75">
      <c r="A1093">
        <v>1086</v>
      </c>
      <c r="B1093" s="557">
        <v>14131</v>
      </c>
      <c r="C1093" t="s">
        <v>5440</v>
      </c>
      <c r="D1093" s="107" t="s">
        <v>2522</v>
      </c>
      <c r="E1093">
        <v>2</v>
      </c>
      <c r="F1093" s="556">
        <v>10</v>
      </c>
      <c r="G1093" s="541">
        <v>5225</v>
      </c>
      <c r="H1093" s="560">
        <v>0</v>
      </c>
      <c r="I1093" s="107">
        <v>1</v>
      </c>
      <c r="K1093" s="370">
        <v>5997</v>
      </c>
      <c r="L1093" s="371" t="s">
        <v>2554</v>
      </c>
      <c r="M1093" s="372" t="s">
        <v>3195</v>
      </c>
      <c r="N1093" s="373" t="s">
        <v>2555</v>
      </c>
      <c r="O1093" s="374" t="s">
        <v>2554</v>
      </c>
      <c r="P1093" s="374" t="s">
        <v>3197</v>
      </c>
    </row>
    <row r="1094" spans="1:16" ht="12.75">
      <c r="A1094">
        <v>1087</v>
      </c>
      <c r="B1094" s="557" t="s">
        <v>5441</v>
      </c>
      <c r="C1094" t="s">
        <v>5442</v>
      </c>
      <c r="D1094" s="107" t="s">
        <v>2439</v>
      </c>
      <c r="E1094">
        <v>600</v>
      </c>
      <c r="F1094" s="556">
        <v>10</v>
      </c>
      <c r="G1094" s="541">
        <v>17.38</v>
      </c>
      <c r="H1094" s="560">
        <v>0</v>
      </c>
      <c r="I1094" s="107">
        <v>1</v>
      </c>
      <c r="K1094" s="370">
        <v>5998</v>
      </c>
      <c r="L1094" s="371" t="s">
        <v>2556</v>
      </c>
      <c r="M1094" s="372" t="s">
        <v>3195</v>
      </c>
      <c r="N1094" s="373" t="s">
        <v>2557</v>
      </c>
      <c r="O1094" s="374" t="s">
        <v>2556</v>
      </c>
      <c r="P1094" s="374" t="s">
        <v>3197</v>
      </c>
    </row>
    <row r="1095" spans="1:14" ht="12.75">
      <c r="A1095">
        <v>1088</v>
      </c>
      <c r="B1095" s="557" t="s">
        <v>5443</v>
      </c>
      <c r="C1095" t="s">
        <v>4674</v>
      </c>
      <c r="D1095" s="107" t="s">
        <v>2441</v>
      </c>
      <c r="E1095">
        <v>1</v>
      </c>
      <c r="F1095" s="556">
        <v>10</v>
      </c>
      <c r="G1095" s="541">
        <v>10285</v>
      </c>
      <c r="H1095" s="560">
        <v>0</v>
      </c>
      <c r="I1095" s="107">
        <v>1</v>
      </c>
      <c r="K1095" s="370">
        <v>6201</v>
      </c>
      <c r="L1095" s="371" t="s">
        <v>2558</v>
      </c>
      <c r="M1095" s="372" t="s">
        <v>2821</v>
      </c>
      <c r="N1095" s="373"/>
    </row>
    <row r="1096" spans="1:14" ht="12.75">
      <c r="A1096">
        <v>1089</v>
      </c>
      <c r="B1096" s="557">
        <v>15091</v>
      </c>
      <c r="C1096" t="s">
        <v>5444</v>
      </c>
      <c r="D1096" s="107" t="s">
        <v>2522</v>
      </c>
      <c r="E1096">
        <v>12</v>
      </c>
      <c r="F1096" s="556">
        <v>10</v>
      </c>
      <c r="G1096" s="541">
        <v>853</v>
      </c>
      <c r="H1096" s="560">
        <v>0</v>
      </c>
      <c r="I1096" s="107">
        <v>1</v>
      </c>
      <c r="K1096" s="370">
        <v>6203</v>
      </c>
      <c r="L1096" s="371" t="s">
        <v>2559</v>
      </c>
      <c r="M1096" s="372" t="s">
        <v>2821</v>
      </c>
      <c r="N1096" s="373"/>
    </row>
    <row r="1097" spans="1:14" ht="12.75">
      <c r="A1097">
        <v>1090</v>
      </c>
      <c r="B1097" s="557">
        <v>15101</v>
      </c>
      <c r="C1097" t="s">
        <v>5445</v>
      </c>
      <c r="D1097" s="107" t="s">
        <v>2522</v>
      </c>
      <c r="E1097">
        <v>1</v>
      </c>
      <c r="F1097" s="556">
        <v>10</v>
      </c>
      <c r="G1097" s="541">
        <v>10230</v>
      </c>
      <c r="H1097" s="560">
        <v>0</v>
      </c>
      <c r="I1097" s="107">
        <v>1</v>
      </c>
      <c r="K1097" s="370">
        <v>6227</v>
      </c>
      <c r="L1097" s="371" t="s">
        <v>2560</v>
      </c>
      <c r="M1097" s="372" t="s">
        <v>2821</v>
      </c>
      <c r="N1097" s="373"/>
    </row>
    <row r="1098" spans="1:16" ht="12.75">
      <c r="A1098">
        <v>1091</v>
      </c>
      <c r="B1098" s="557" t="s">
        <v>4103</v>
      </c>
      <c r="C1098" t="s">
        <v>5446</v>
      </c>
      <c r="D1098" s="107" t="s">
        <v>2522</v>
      </c>
      <c r="E1098">
        <v>26</v>
      </c>
      <c r="F1098" s="556">
        <v>10</v>
      </c>
      <c r="G1098" s="541">
        <v>392.85</v>
      </c>
      <c r="H1098" s="560">
        <v>0</v>
      </c>
      <c r="I1098" s="107">
        <v>4</v>
      </c>
      <c r="K1098" s="370">
        <v>6400</v>
      </c>
      <c r="L1098" s="371" t="s">
        <v>2561</v>
      </c>
      <c r="M1098" s="372" t="s">
        <v>2720</v>
      </c>
      <c r="N1098" s="373" t="s">
        <v>2562</v>
      </c>
      <c r="O1098" s="374" t="s">
        <v>2561</v>
      </c>
      <c r="P1098" s="374" t="s">
        <v>2722</v>
      </c>
    </row>
    <row r="1099" spans="1:16" ht="12.75">
      <c r="A1099">
        <v>1092</v>
      </c>
      <c r="B1099" s="557">
        <v>1649</v>
      </c>
      <c r="C1099" t="s">
        <v>5447</v>
      </c>
      <c r="D1099" s="107" t="s">
        <v>2522</v>
      </c>
      <c r="E1099">
        <v>1</v>
      </c>
      <c r="F1099" s="556">
        <v>10</v>
      </c>
      <c r="G1099" s="541">
        <v>10200</v>
      </c>
      <c r="H1099" s="560">
        <v>0</v>
      </c>
      <c r="I1099" s="107">
        <v>1</v>
      </c>
      <c r="K1099" s="370">
        <v>6402</v>
      </c>
      <c r="L1099" s="371" t="s">
        <v>2563</v>
      </c>
      <c r="M1099" s="372" t="s">
        <v>2720</v>
      </c>
      <c r="N1099" s="373" t="s">
        <v>2564</v>
      </c>
      <c r="O1099" s="374" t="s">
        <v>2563</v>
      </c>
      <c r="P1099" s="374" t="s">
        <v>2722</v>
      </c>
    </row>
    <row r="1100" spans="1:16" ht="12.75">
      <c r="A1100">
        <v>1093</v>
      </c>
      <c r="B1100" s="557" t="s">
        <v>3426</v>
      </c>
      <c r="C1100" t="s">
        <v>4027</v>
      </c>
      <c r="D1100" s="107" t="s">
        <v>2522</v>
      </c>
      <c r="E1100">
        <v>9</v>
      </c>
      <c r="F1100" s="556">
        <v>10</v>
      </c>
      <c r="G1100" s="541">
        <v>1129.8</v>
      </c>
      <c r="H1100" s="560">
        <v>0</v>
      </c>
      <c r="I1100" s="107">
        <v>6</v>
      </c>
      <c r="K1100" s="370">
        <v>6405</v>
      </c>
      <c r="L1100" s="371" t="s">
        <v>2565</v>
      </c>
      <c r="M1100" s="372" t="s">
        <v>974</v>
      </c>
      <c r="N1100" s="373" t="s">
        <v>2566</v>
      </c>
      <c r="O1100" s="374" t="s">
        <v>2565</v>
      </c>
      <c r="P1100" s="374" t="s">
        <v>3175</v>
      </c>
    </row>
    <row r="1101" spans="1:16" ht="12.75">
      <c r="A1101">
        <v>1094</v>
      </c>
      <c r="B1101" s="557">
        <v>40095</v>
      </c>
      <c r="C1101" t="s">
        <v>5448</v>
      </c>
      <c r="D1101" s="107" t="s">
        <v>4310</v>
      </c>
      <c r="E1101">
        <v>3</v>
      </c>
      <c r="F1101" s="556">
        <v>10</v>
      </c>
      <c r="G1101" s="541">
        <v>3500</v>
      </c>
      <c r="H1101" s="560">
        <v>0</v>
      </c>
      <c r="I1101" s="107">
        <v>1</v>
      </c>
      <c r="K1101" s="370">
        <v>6406</v>
      </c>
      <c r="L1101" s="371" t="s">
        <v>2567</v>
      </c>
      <c r="M1101" s="372" t="s">
        <v>974</v>
      </c>
      <c r="N1101" s="373" t="s">
        <v>2783</v>
      </c>
      <c r="O1101" s="374" t="s">
        <v>2784</v>
      </c>
      <c r="P1101" s="374" t="s">
        <v>3175</v>
      </c>
    </row>
    <row r="1102" spans="1:16" ht="12.75">
      <c r="A1102">
        <v>1095</v>
      </c>
      <c r="B1102" s="557">
        <v>2471</v>
      </c>
      <c r="C1102" t="s">
        <v>5449</v>
      </c>
      <c r="D1102" s="107" t="s">
        <v>2522</v>
      </c>
      <c r="E1102">
        <v>1</v>
      </c>
      <c r="F1102" s="556">
        <v>10</v>
      </c>
      <c r="G1102" s="541">
        <v>10000</v>
      </c>
      <c r="H1102" s="560">
        <v>0</v>
      </c>
      <c r="I1102" s="107">
        <v>1</v>
      </c>
      <c r="K1102" s="370">
        <v>6407</v>
      </c>
      <c r="L1102" s="371" t="s">
        <v>2785</v>
      </c>
      <c r="M1102" s="372" t="s">
        <v>974</v>
      </c>
      <c r="N1102" s="373" t="s">
        <v>2786</v>
      </c>
      <c r="O1102" s="374" t="s">
        <v>2787</v>
      </c>
      <c r="P1102" s="374" t="s">
        <v>3175</v>
      </c>
    </row>
    <row r="1103" spans="1:16" ht="12.75">
      <c r="A1103">
        <v>1096</v>
      </c>
      <c r="B1103" s="557" t="s">
        <v>4250</v>
      </c>
      <c r="C1103" t="s">
        <v>450</v>
      </c>
      <c r="D1103" s="107" t="s">
        <v>2441</v>
      </c>
      <c r="E1103">
        <v>1</v>
      </c>
      <c r="F1103" s="556">
        <v>10</v>
      </c>
      <c r="G1103" s="541">
        <v>10000</v>
      </c>
      <c r="H1103" s="560">
        <v>0</v>
      </c>
      <c r="I1103" s="107">
        <v>1</v>
      </c>
      <c r="K1103" s="370">
        <v>6408</v>
      </c>
      <c r="L1103" s="371" t="s">
        <v>2788</v>
      </c>
      <c r="M1103" s="372" t="s">
        <v>974</v>
      </c>
      <c r="N1103" s="373" t="s">
        <v>2789</v>
      </c>
      <c r="O1103" s="374" t="s">
        <v>2788</v>
      </c>
      <c r="P1103" s="374" t="s">
        <v>3175</v>
      </c>
    </row>
    <row r="1104" spans="1:16" ht="12.75">
      <c r="A1104">
        <v>1097</v>
      </c>
      <c r="B1104" s="557" t="s">
        <v>3775</v>
      </c>
      <c r="C1104" t="s">
        <v>4344</v>
      </c>
      <c r="D1104" s="107" t="s">
        <v>2522</v>
      </c>
      <c r="E1104">
        <v>1</v>
      </c>
      <c r="F1104" s="556">
        <v>10</v>
      </c>
      <c r="G1104" s="541">
        <v>10000</v>
      </c>
      <c r="H1104" s="560">
        <v>0</v>
      </c>
      <c r="I1104" s="107">
        <v>1</v>
      </c>
      <c r="K1104" s="370">
        <v>6409</v>
      </c>
      <c r="L1104" s="371" t="s">
        <v>2790</v>
      </c>
      <c r="M1104" s="372" t="s">
        <v>974</v>
      </c>
      <c r="N1104" s="373" t="s">
        <v>2791</v>
      </c>
      <c r="O1104" s="374" t="s">
        <v>2790</v>
      </c>
      <c r="P1104" s="374" t="s">
        <v>3175</v>
      </c>
    </row>
    <row r="1105" spans="1:16" ht="12.75">
      <c r="A1105">
        <v>1098</v>
      </c>
      <c r="B1105" s="557" t="s">
        <v>4313</v>
      </c>
      <c r="C1105" t="s">
        <v>5450</v>
      </c>
      <c r="D1105" s="107" t="s">
        <v>2522</v>
      </c>
      <c r="E1105">
        <v>2</v>
      </c>
      <c r="F1105" s="556">
        <v>10</v>
      </c>
      <c r="G1105" s="541">
        <v>5000</v>
      </c>
      <c r="H1105" s="560">
        <v>0</v>
      </c>
      <c r="I1105" s="107">
        <v>1</v>
      </c>
      <c r="K1105" s="370">
        <v>6410</v>
      </c>
      <c r="L1105" s="371" t="s">
        <v>2792</v>
      </c>
      <c r="M1105" s="372" t="s">
        <v>751</v>
      </c>
      <c r="N1105" s="373" t="s">
        <v>2793</v>
      </c>
      <c r="O1105" s="374" t="s">
        <v>2792</v>
      </c>
      <c r="P1105" s="374" t="s">
        <v>754</v>
      </c>
    </row>
    <row r="1106" spans="1:16" ht="12.75">
      <c r="A1106">
        <v>1099</v>
      </c>
      <c r="B1106" s="557">
        <v>40000</v>
      </c>
      <c r="C1106" t="s">
        <v>4584</v>
      </c>
      <c r="D1106" s="107" t="s">
        <v>2441</v>
      </c>
      <c r="E1106">
        <v>1</v>
      </c>
      <c r="F1106" s="556">
        <v>10</v>
      </c>
      <c r="G1106" s="541">
        <v>10000</v>
      </c>
      <c r="H1106" s="560">
        <v>0</v>
      </c>
      <c r="I1106" s="107">
        <v>1</v>
      </c>
      <c r="K1106" s="370">
        <v>6411</v>
      </c>
      <c r="L1106" s="371" t="s">
        <v>2794</v>
      </c>
      <c r="M1106" s="372" t="s">
        <v>751</v>
      </c>
      <c r="N1106" s="373" t="s">
        <v>2795</v>
      </c>
      <c r="O1106" s="374" t="s">
        <v>2794</v>
      </c>
      <c r="P1106" s="374" t="s">
        <v>754</v>
      </c>
    </row>
    <row r="1107" spans="1:14" ht="12.75">
      <c r="A1107">
        <v>1100</v>
      </c>
      <c r="B1107" s="557">
        <v>40116</v>
      </c>
      <c r="C1107" t="s">
        <v>5451</v>
      </c>
      <c r="D1107" s="107" t="s">
        <v>2522</v>
      </c>
      <c r="E1107">
        <v>4</v>
      </c>
      <c r="F1107" s="556">
        <v>10</v>
      </c>
      <c r="G1107" s="541">
        <v>2500</v>
      </c>
      <c r="H1107" s="560">
        <v>0</v>
      </c>
      <c r="I1107" s="107">
        <v>1</v>
      </c>
      <c r="K1107" s="370">
        <v>6412</v>
      </c>
      <c r="L1107" s="371" t="s">
        <v>2796</v>
      </c>
      <c r="M1107" s="372" t="s">
        <v>2821</v>
      </c>
      <c r="N1107" s="373"/>
    </row>
    <row r="1108" spans="1:14" ht="12.75">
      <c r="A1108">
        <v>1101</v>
      </c>
      <c r="B1108" s="557" t="s">
        <v>4302</v>
      </c>
      <c r="C1108" t="s">
        <v>5452</v>
      </c>
      <c r="D1108" s="107" t="s">
        <v>2522</v>
      </c>
      <c r="E1108">
        <v>3</v>
      </c>
      <c r="F1108" s="556">
        <v>10</v>
      </c>
      <c r="G1108" s="541">
        <v>3300</v>
      </c>
      <c r="H1108" s="560">
        <v>0</v>
      </c>
      <c r="I1108" s="107">
        <v>1</v>
      </c>
      <c r="K1108" s="370">
        <v>6413</v>
      </c>
      <c r="L1108" s="371" t="s">
        <v>2797</v>
      </c>
      <c r="M1108" s="372" t="s">
        <v>2821</v>
      </c>
      <c r="N1108" s="373"/>
    </row>
    <row r="1109" spans="1:14" ht="12.75">
      <c r="A1109">
        <v>1102</v>
      </c>
      <c r="B1109" s="557">
        <v>3340</v>
      </c>
      <c r="C1109" t="s">
        <v>5453</v>
      </c>
      <c r="D1109" s="107" t="s">
        <v>2439</v>
      </c>
      <c r="E1109">
        <v>195</v>
      </c>
      <c r="F1109" s="556">
        <v>10</v>
      </c>
      <c r="G1109" s="541">
        <v>50.27</v>
      </c>
      <c r="H1109" s="560">
        <v>0</v>
      </c>
      <c r="I1109" s="107">
        <v>2</v>
      </c>
      <c r="K1109" s="370">
        <v>6414</v>
      </c>
      <c r="L1109" s="371" t="s">
        <v>2798</v>
      </c>
      <c r="M1109" s="372" t="s">
        <v>2821</v>
      </c>
      <c r="N1109" s="373"/>
    </row>
    <row r="1110" spans="1:14" ht="12.75">
      <c r="A1110">
        <v>1103</v>
      </c>
      <c r="B1110" s="557">
        <v>15028</v>
      </c>
      <c r="C1110" t="s">
        <v>5454</v>
      </c>
      <c r="D1110" s="107" t="s">
        <v>2522</v>
      </c>
      <c r="E1110">
        <v>1</v>
      </c>
      <c r="F1110" s="556">
        <v>10</v>
      </c>
      <c r="G1110" s="541">
        <v>9800</v>
      </c>
      <c r="H1110" s="560">
        <v>0</v>
      </c>
      <c r="I1110" s="107">
        <v>1</v>
      </c>
      <c r="K1110" s="370">
        <v>6415</v>
      </c>
      <c r="L1110" s="371" t="s">
        <v>2799</v>
      </c>
      <c r="M1110" s="372" t="s">
        <v>2821</v>
      </c>
      <c r="N1110" s="373"/>
    </row>
    <row r="1111" spans="1:14" ht="12.75">
      <c r="A1111">
        <v>1104</v>
      </c>
      <c r="B1111" s="557">
        <v>15073</v>
      </c>
      <c r="C1111" t="s">
        <v>5455</v>
      </c>
      <c r="D1111" s="107" t="s">
        <v>2522</v>
      </c>
      <c r="E1111">
        <v>2</v>
      </c>
      <c r="F1111" s="556">
        <v>10</v>
      </c>
      <c r="G1111" s="541">
        <v>4888.58</v>
      </c>
      <c r="H1111" s="560">
        <v>0</v>
      </c>
      <c r="I1111" s="107">
        <v>1</v>
      </c>
      <c r="K1111" s="370">
        <v>6416</v>
      </c>
      <c r="L1111" s="371" t="s">
        <v>2800</v>
      </c>
      <c r="M1111" s="372" t="s">
        <v>2821</v>
      </c>
      <c r="N1111" s="373"/>
    </row>
    <row r="1112" spans="1:14" ht="12.75">
      <c r="A1112">
        <v>1105</v>
      </c>
      <c r="B1112" s="557" t="s">
        <v>4068</v>
      </c>
      <c r="C1112" t="s">
        <v>5456</v>
      </c>
      <c r="D1112" s="107" t="s">
        <v>2522</v>
      </c>
      <c r="E1112">
        <v>13</v>
      </c>
      <c r="F1112" s="556">
        <v>10</v>
      </c>
      <c r="G1112" s="541">
        <v>748.58</v>
      </c>
      <c r="H1112" s="560">
        <v>0</v>
      </c>
      <c r="I1112" s="107">
        <v>5</v>
      </c>
      <c r="K1112" s="370">
        <v>6417</v>
      </c>
      <c r="L1112" s="371" t="s">
        <v>2801</v>
      </c>
      <c r="M1112" s="372" t="s">
        <v>2821</v>
      </c>
      <c r="N1112" s="373"/>
    </row>
    <row r="1113" spans="1:14" ht="12.75">
      <c r="A1113">
        <v>1106</v>
      </c>
      <c r="B1113" s="557" t="s">
        <v>4327</v>
      </c>
      <c r="C1113" t="s">
        <v>5457</v>
      </c>
      <c r="D1113" s="107" t="s">
        <v>2439</v>
      </c>
      <c r="E1113">
        <v>512</v>
      </c>
      <c r="F1113" s="556">
        <v>10</v>
      </c>
      <c r="G1113" s="541">
        <v>19</v>
      </c>
      <c r="H1113" s="560">
        <v>0</v>
      </c>
      <c r="I1113" s="107">
        <v>1</v>
      </c>
      <c r="K1113" s="370">
        <v>6418</v>
      </c>
      <c r="L1113" s="371" t="s">
        <v>3613</v>
      </c>
      <c r="M1113" s="372" t="s">
        <v>2821</v>
      </c>
      <c r="N1113" s="373"/>
    </row>
    <row r="1114" spans="1:16" ht="12.75">
      <c r="A1114">
        <v>1107</v>
      </c>
      <c r="B1114" s="557">
        <v>6586</v>
      </c>
      <c r="C1114" t="s">
        <v>5458</v>
      </c>
      <c r="D1114" s="107" t="s">
        <v>2522</v>
      </c>
      <c r="E1114">
        <v>1904</v>
      </c>
      <c r="F1114" s="556">
        <v>10</v>
      </c>
      <c r="G1114" s="541">
        <v>5.1</v>
      </c>
      <c r="H1114" s="560">
        <v>0</v>
      </c>
      <c r="I1114" s="107">
        <v>5</v>
      </c>
      <c r="K1114" s="370">
        <v>6420</v>
      </c>
      <c r="L1114" s="371" t="s">
        <v>3614</v>
      </c>
      <c r="M1114" s="372" t="s">
        <v>2821</v>
      </c>
      <c r="N1114" s="373" t="s">
        <v>3615</v>
      </c>
      <c r="O1114" s="374" t="s">
        <v>3616</v>
      </c>
      <c r="P1114" s="374" t="s">
        <v>2821</v>
      </c>
    </row>
    <row r="1115" spans="1:16" ht="12.75">
      <c r="A1115">
        <v>1108</v>
      </c>
      <c r="B1115" s="557">
        <v>14511</v>
      </c>
      <c r="C1115" t="s">
        <v>5459</v>
      </c>
      <c r="D1115" s="107" t="s">
        <v>2522</v>
      </c>
      <c r="E1115">
        <v>1</v>
      </c>
      <c r="F1115" s="556">
        <v>10</v>
      </c>
      <c r="G1115" s="541">
        <v>9700</v>
      </c>
      <c r="H1115" s="560">
        <v>0</v>
      </c>
      <c r="I1115" s="107">
        <v>1</v>
      </c>
      <c r="K1115" s="370">
        <v>6422</v>
      </c>
      <c r="L1115" s="371" t="s">
        <v>3617</v>
      </c>
      <c r="M1115" s="372" t="s">
        <v>2821</v>
      </c>
      <c r="N1115" s="373" t="s">
        <v>3618</v>
      </c>
      <c r="O1115" s="374" t="s">
        <v>3619</v>
      </c>
      <c r="P1115" s="374" t="s">
        <v>2821</v>
      </c>
    </row>
    <row r="1116" spans="1:16" ht="12.75">
      <c r="A1116">
        <v>1109</v>
      </c>
      <c r="B1116" s="557" t="s">
        <v>5460</v>
      </c>
      <c r="C1116" t="s">
        <v>5461</v>
      </c>
      <c r="D1116" s="107" t="s">
        <v>1771</v>
      </c>
      <c r="E1116">
        <v>200</v>
      </c>
      <c r="F1116" s="556">
        <v>10</v>
      </c>
      <c r="G1116" s="541">
        <v>48</v>
      </c>
      <c r="H1116" s="560">
        <v>0</v>
      </c>
      <c r="I1116" s="107">
        <v>1</v>
      </c>
      <c r="K1116" s="370">
        <v>6424</v>
      </c>
      <c r="L1116" s="371" t="s">
        <v>3620</v>
      </c>
      <c r="M1116" s="372" t="s">
        <v>2821</v>
      </c>
      <c r="N1116" s="373" t="s">
        <v>3621</v>
      </c>
      <c r="O1116" s="374" t="s">
        <v>3622</v>
      </c>
      <c r="P1116" s="374" t="s">
        <v>2821</v>
      </c>
    </row>
    <row r="1117" spans="1:16" ht="12.75">
      <c r="A1117">
        <v>1110</v>
      </c>
      <c r="B1117" s="557" t="s">
        <v>4037</v>
      </c>
      <c r="C1117" t="s">
        <v>5462</v>
      </c>
      <c r="D1117" s="107" t="s">
        <v>2522</v>
      </c>
      <c r="E1117">
        <v>12</v>
      </c>
      <c r="F1117" s="556">
        <v>10</v>
      </c>
      <c r="G1117" s="541">
        <v>800</v>
      </c>
      <c r="H1117" s="560">
        <v>0</v>
      </c>
      <c r="I1117" s="107">
        <v>1</v>
      </c>
      <c r="K1117" s="370">
        <v>6426</v>
      </c>
      <c r="L1117" s="371" t="s">
        <v>3623</v>
      </c>
      <c r="M1117" s="372" t="s">
        <v>2821</v>
      </c>
      <c r="N1117" s="373" t="s">
        <v>3624</v>
      </c>
      <c r="O1117" s="374" t="s">
        <v>3625</v>
      </c>
      <c r="P1117" s="374" t="s">
        <v>2821</v>
      </c>
    </row>
    <row r="1118" spans="1:16" ht="12.75">
      <c r="A1118">
        <v>1111</v>
      </c>
      <c r="B1118" s="557">
        <v>14112</v>
      </c>
      <c r="C1118" t="s">
        <v>5463</v>
      </c>
      <c r="D1118" s="107" t="s">
        <v>2522</v>
      </c>
      <c r="E1118">
        <v>4</v>
      </c>
      <c r="F1118" s="556">
        <v>9</v>
      </c>
      <c r="G1118" s="541">
        <v>2335</v>
      </c>
      <c r="H1118" s="560">
        <v>0</v>
      </c>
      <c r="I1118" s="107">
        <v>1</v>
      </c>
      <c r="K1118" s="370">
        <v>6427</v>
      </c>
      <c r="L1118" s="371" t="s">
        <v>3626</v>
      </c>
      <c r="M1118" s="372" t="s">
        <v>751</v>
      </c>
      <c r="N1118" s="373" t="s">
        <v>3627</v>
      </c>
      <c r="O1118" s="374" t="s">
        <v>3626</v>
      </c>
      <c r="P1118" s="374" t="s">
        <v>754</v>
      </c>
    </row>
    <row r="1119" spans="1:16" ht="12.75">
      <c r="A1119">
        <v>1112</v>
      </c>
      <c r="B1119" s="557">
        <v>1033</v>
      </c>
      <c r="C1119" t="s">
        <v>5464</v>
      </c>
      <c r="D1119" s="107" t="s">
        <v>2522</v>
      </c>
      <c r="E1119">
        <v>11</v>
      </c>
      <c r="F1119" s="556">
        <v>9</v>
      </c>
      <c r="G1119" s="541">
        <v>845.45</v>
      </c>
      <c r="H1119" s="560">
        <v>0</v>
      </c>
      <c r="I1119" s="107">
        <v>2</v>
      </c>
      <c r="K1119" s="370">
        <v>6436</v>
      </c>
      <c r="L1119" s="371" t="s">
        <v>3628</v>
      </c>
      <c r="M1119" s="372" t="s">
        <v>2821</v>
      </c>
      <c r="N1119" s="373" t="s">
        <v>3629</v>
      </c>
      <c r="O1119" s="374" t="s">
        <v>3630</v>
      </c>
      <c r="P1119" s="374" t="s">
        <v>2821</v>
      </c>
    </row>
    <row r="1120" spans="1:16" ht="12.75">
      <c r="A1120">
        <v>1113</v>
      </c>
      <c r="B1120" s="557">
        <v>1458</v>
      </c>
      <c r="C1120" t="s">
        <v>5465</v>
      </c>
      <c r="D1120" s="107" t="s">
        <v>2522</v>
      </c>
      <c r="E1120">
        <v>2</v>
      </c>
      <c r="F1120" s="556">
        <v>9</v>
      </c>
      <c r="G1120" s="541">
        <v>4600</v>
      </c>
      <c r="H1120" s="560">
        <v>0</v>
      </c>
      <c r="I1120" s="107">
        <v>2</v>
      </c>
      <c r="K1120" s="370">
        <v>6438</v>
      </c>
      <c r="L1120" s="371" t="s">
        <v>3631</v>
      </c>
      <c r="M1120" s="372" t="s">
        <v>2821</v>
      </c>
      <c r="N1120" s="373" t="s">
        <v>3632</v>
      </c>
      <c r="O1120" s="374" t="s">
        <v>3633</v>
      </c>
      <c r="P1120" s="374" t="s">
        <v>2821</v>
      </c>
    </row>
    <row r="1121" spans="1:16" ht="12.75">
      <c r="A1121">
        <v>1114</v>
      </c>
      <c r="B1121" s="557">
        <v>1949</v>
      </c>
      <c r="C1121" t="s">
        <v>5466</v>
      </c>
      <c r="D1121" s="107" t="s">
        <v>1772</v>
      </c>
      <c r="E1121">
        <v>59</v>
      </c>
      <c r="F1121" s="556">
        <v>9</v>
      </c>
      <c r="G1121" s="541">
        <v>153</v>
      </c>
      <c r="H1121" s="560">
        <v>0</v>
      </c>
      <c r="I1121" s="107">
        <v>1</v>
      </c>
      <c r="K1121" s="370">
        <v>6440</v>
      </c>
      <c r="L1121" s="371" t="s">
        <v>3634</v>
      </c>
      <c r="M1121" s="372" t="s">
        <v>2720</v>
      </c>
      <c r="N1121" s="373" t="s">
        <v>3635</v>
      </c>
      <c r="O1121" s="374" t="s">
        <v>3634</v>
      </c>
      <c r="P1121" s="374" t="s">
        <v>2722</v>
      </c>
    </row>
    <row r="1122" spans="1:16" ht="12.75">
      <c r="A1122">
        <v>1115</v>
      </c>
      <c r="B1122" s="557">
        <v>1771</v>
      </c>
      <c r="C1122" t="s">
        <v>5467</v>
      </c>
      <c r="D1122" s="107" t="s">
        <v>2522</v>
      </c>
      <c r="E1122">
        <v>6</v>
      </c>
      <c r="F1122" s="556">
        <v>9</v>
      </c>
      <c r="G1122" s="541">
        <v>1500</v>
      </c>
      <c r="H1122" s="560">
        <v>0</v>
      </c>
      <c r="I1122" s="107">
        <v>1</v>
      </c>
      <c r="K1122" s="370">
        <v>6443</v>
      </c>
      <c r="L1122" s="371" t="s">
        <v>3636</v>
      </c>
      <c r="M1122" s="372" t="s">
        <v>2821</v>
      </c>
      <c r="N1122" s="373" t="s">
        <v>3637</v>
      </c>
      <c r="O1122" s="374" t="s">
        <v>3638</v>
      </c>
      <c r="P1122" s="374" t="s">
        <v>2821</v>
      </c>
    </row>
    <row r="1123" spans="1:16" ht="12.75">
      <c r="A1123">
        <v>1116</v>
      </c>
      <c r="B1123" s="557">
        <v>14147</v>
      </c>
      <c r="C1123" t="s">
        <v>5468</v>
      </c>
      <c r="D1123" s="107" t="s">
        <v>2522</v>
      </c>
      <c r="E1123">
        <v>1</v>
      </c>
      <c r="F1123" s="556">
        <v>9</v>
      </c>
      <c r="G1123" s="541">
        <v>9000</v>
      </c>
      <c r="H1123" s="560">
        <v>0</v>
      </c>
      <c r="I1123" s="107">
        <v>1</v>
      </c>
      <c r="K1123" s="370">
        <v>6445</v>
      </c>
      <c r="L1123" s="371" t="s">
        <v>3639</v>
      </c>
      <c r="M1123" s="372" t="s">
        <v>2821</v>
      </c>
      <c r="N1123" s="373" t="s">
        <v>3640</v>
      </c>
      <c r="O1123" s="374" t="s">
        <v>3641</v>
      </c>
      <c r="P1123" s="374" t="s">
        <v>2821</v>
      </c>
    </row>
    <row r="1124" spans="1:14" ht="12.75">
      <c r="A1124">
        <v>1117</v>
      </c>
      <c r="B1124" s="557" t="s">
        <v>5469</v>
      </c>
      <c r="C1124" t="s">
        <v>5470</v>
      </c>
      <c r="D1124" s="107" t="s">
        <v>2522</v>
      </c>
      <c r="E1124">
        <v>3</v>
      </c>
      <c r="F1124" s="556">
        <v>9</v>
      </c>
      <c r="G1124" s="541">
        <v>3000</v>
      </c>
      <c r="H1124" s="560">
        <v>0</v>
      </c>
      <c r="I1124" s="107">
        <v>1</v>
      </c>
      <c r="K1124" s="370">
        <v>6448</v>
      </c>
      <c r="L1124" s="371" t="s">
        <v>3642</v>
      </c>
      <c r="M1124" s="372" t="s">
        <v>2821</v>
      </c>
      <c r="N1124" s="373"/>
    </row>
    <row r="1125" spans="1:14" ht="12.75">
      <c r="A1125">
        <v>1118</v>
      </c>
      <c r="B1125" s="557" t="s">
        <v>5471</v>
      </c>
      <c r="C1125" t="s">
        <v>5472</v>
      </c>
      <c r="D1125" s="107" t="s">
        <v>2522</v>
      </c>
      <c r="E1125">
        <v>3</v>
      </c>
      <c r="F1125" s="556">
        <v>9</v>
      </c>
      <c r="G1125" s="541">
        <v>3000</v>
      </c>
      <c r="H1125" s="560">
        <v>0</v>
      </c>
      <c r="I1125" s="107">
        <v>1</v>
      </c>
      <c r="K1125" s="370">
        <v>6449</v>
      </c>
      <c r="L1125" s="371" t="s">
        <v>3643</v>
      </c>
      <c r="M1125" s="372" t="s">
        <v>2821</v>
      </c>
      <c r="N1125" s="373"/>
    </row>
    <row r="1126" spans="1:14" ht="12.75">
      <c r="A1126">
        <v>1119</v>
      </c>
      <c r="B1126" s="557" t="s">
        <v>4117</v>
      </c>
      <c r="C1126" t="s">
        <v>5446</v>
      </c>
      <c r="D1126" s="107" t="s">
        <v>2441</v>
      </c>
      <c r="E1126">
        <v>2</v>
      </c>
      <c r="F1126" s="556">
        <v>9</v>
      </c>
      <c r="G1126" s="541">
        <v>4500</v>
      </c>
      <c r="H1126" s="560">
        <v>0</v>
      </c>
      <c r="I1126" s="107">
        <v>2</v>
      </c>
      <c r="K1126" s="370">
        <v>6450</v>
      </c>
      <c r="L1126" s="371" t="s">
        <v>1357</v>
      </c>
      <c r="M1126" s="372" t="s">
        <v>2821</v>
      </c>
      <c r="N1126" s="373"/>
    </row>
    <row r="1127" spans="1:14" ht="12.75">
      <c r="A1127">
        <v>1120</v>
      </c>
      <c r="B1127" s="557" t="s">
        <v>5473</v>
      </c>
      <c r="C1127" t="s">
        <v>5474</v>
      </c>
      <c r="D1127" s="107" t="s">
        <v>2522</v>
      </c>
      <c r="E1127">
        <v>3</v>
      </c>
      <c r="F1127" s="556">
        <v>9</v>
      </c>
      <c r="G1127" s="541">
        <v>3000</v>
      </c>
      <c r="H1127" s="560">
        <v>0</v>
      </c>
      <c r="I1127" s="107">
        <v>1</v>
      </c>
      <c r="K1127" s="370">
        <v>6451</v>
      </c>
      <c r="L1127" s="371" t="s">
        <v>1358</v>
      </c>
      <c r="M1127" s="372" t="s">
        <v>2821</v>
      </c>
      <c r="N1127" s="373"/>
    </row>
    <row r="1128" spans="1:16" ht="12.75">
      <c r="A1128">
        <v>1121</v>
      </c>
      <c r="B1128" s="557" t="s">
        <v>4067</v>
      </c>
      <c r="C1128" t="s">
        <v>5475</v>
      </c>
      <c r="D1128" s="107" t="s">
        <v>2522</v>
      </c>
      <c r="E1128">
        <v>5</v>
      </c>
      <c r="F1128" s="556">
        <v>9</v>
      </c>
      <c r="G1128" s="541">
        <v>1798</v>
      </c>
      <c r="H1128" s="560">
        <v>0</v>
      </c>
      <c r="I1128" s="107">
        <v>3</v>
      </c>
      <c r="K1128" s="370">
        <v>6453</v>
      </c>
      <c r="L1128" s="371" t="s">
        <v>454</v>
      </c>
      <c r="M1128" s="372" t="s">
        <v>2821</v>
      </c>
      <c r="N1128" s="373" t="s">
        <v>455</v>
      </c>
      <c r="O1128" s="374" t="s">
        <v>456</v>
      </c>
      <c r="P1128" s="374" t="s">
        <v>2821</v>
      </c>
    </row>
    <row r="1129" spans="1:16" ht="12.75">
      <c r="A1129">
        <v>1122</v>
      </c>
      <c r="B1129" s="557" t="s">
        <v>5476</v>
      </c>
      <c r="C1129" t="s">
        <v>5477</v>
      </c>
      <c r="D1129" s="107" t="s">
        <v>2439</v>
      </c>
      <c r="E1129">
        <v>1100</v>
      </c>
      <c r="F1129" s="556">
        <v>9</v>
      </c>
      <c r="G1129" s="541">
        <v>8</v>
      </c>
      <c r="H1129" s="560">
        <v>0</v>
      </c>
      <c r="I1129" s="107">
        <v>1</v>
      </c>
      <c r="K1129" s="370">
        <v>6455</v>
      </c>
      <c r="L1129" s="371" t="s">
        <v>457</v>
      </c>
      <c r="M1129" s="372" t="s">
        <v>2821</v>
      </c>
      <c r="N1129" s="373" t="s">
        <v>458</v>
      </c>
      <c r="O1129" s="374" t="s">
        <v>459</v>
      </c>
      <c r="P1129" s="374" t="s">
        <v>2821</v>
      </c>
    </row>
    <row r="1130" spans="1:16" ht="12.75">
      <c r="A1130">
        <v>1123</v>
      </c>
      <c r="B1130" s="557">
        <v>16519</v>
      </c>
      <c r="C1130" t="s">
        <v>4306</v>
      </c>
      <c r="D1130" s="107" t="s">
        <v>2439</v>
      </c>
      <c r="E1130">
        <v>80</v>
      </c>
      <c r="F1130" s="556">
        <v>9</v>
      </c>
      <c r="G1130" s="541">
        <v>108.02</v>
      </c>
      <c r="H1130" s="560">
        <v>0</v>
      </c>
      <c r="I1130" s="107">
        <v>1</v>
      </c>
      <c r="K1130" s="370">
        <v>6457</v>
      </c>
      <c r="L1130" s="371" t="s">
        <v>460</v>
      </c>
      <c r="M1130" s="372" t="s">
        <v>2821</v>
      </c>
      <c r="N1130" s="373" t="s">
        <v>461</v>
      </c>
      <c r="O1130" s="374" t="s">
        <v>462</v>
      </c>
      <c r="P1130" s="374" t="s">
        <v>2821</v>
      </c>
    </row>
    <row r="1131" spans="1:16" ht="12.75">
      <c r="A1131">
        <v>1124</v>
      </c>
      <c r="B1131" s="557" t="s">
        <v>5478</v>
      </c>
      <c r="C1131" t="s">
        <v>5479</v>
      </c>
      <c r="D1131" s="107" t="s">
        <v>2522</v>
      </c>
      <c r="E1131">
        <v>2</v>
      </c>
      <c r="F1131" s="556">
        <v>9</v>
      </c>
      <c r="G1131" s="541">
        <v>4300</v>
      </c>
      <c r="H1131" s="560">
        <v>0</v>
      </c>
      <c r="I1131" s="107">
        <v>1</v>
      </c>
      <c r="K1131" s="370">
        <v>6459</v>
      </c>
      <c r="L1131" s="371" t="s">
        <v>463</v>
      </c>
      <c r="M1131" s="372" t="s">
        <v>2821</v>
      </c>
      <c r="N1131" s="373" t="s">
        <v>464</v>
      </c>
      <c r="O1131" s="374" t="s">
        <v>465</v>
      </c>
      <c r="P1131" s="374" t="s">
        <v>2821</v>
      </c>
    </row>
    <row r="1132" spans="1:16" ht="12.75">
      <c r="A1132">
        <v>1125</v>
      </c>
      <c r="B1132" s="557">
        <v>15012</v>
      </c>
      <c r="C1132" t="s">
        <v>5480</v>
      </c>
      <c r="D1132" s="107" t="s">
        <v>2439</v>
      </c>
      <c r="E1132">
        <v>38</v>
      </c>
      <c r="F1132" s="556">
        <v>9</v>
      </c>
      <c r="G1132" s="541">
        <v>224</v>
      </c>
      <c r="H1132" s="560">
        <v>0</v>
      </c>
      <c r="I1132" s="107">
        <v>1</v>
      </c>
      <c r="K1132" s="370">
        <v>6461</v>
      </c>
      <c r="L1132" s="371" t="s">
        <v>466</v>
      </c>
      <c r="M1132" s="372" t="s">
        <v>2821</v>
      </c>
      <c r="N1132" s="373" t="s">
        <v>467</v>
      </c>
      <c r="O1132" s="374" t="s">
        <v>468</v>
      </c>
      <c r="P1132" s="374" t="s">
        <v>2821</v>
      </c>
    </row>
    <row r="1133" spans="1:16" ht="12.75">
      <c r="A1133">
        <v>1126</v>
      </c>
      <c r="B1133" s="557">
        <v>1902</v>
      </c>
      <c r="C1133" t="s">
        <v>5481</v>
      </c>
      <c r="D1133" s="107" t="s">
        <v>2439</v>
      </c>
      <c r="E1133">
        <v>421</v>
      </c>
      <c r="F1133" s="556">
        <v>8</v>
      </c>
      <c r="G1133" s="541">
        <v>20</v>
      </c>
      <c r="H1133" s="560">
        <v>0</v>
      </c>
      <c r="I1133" s="107">
        <v>1</v>
      </c>
      <c r="K1133" s="370">
        <v>6463</v>
      </c>
      <c r="L1133" s="371" t="s">
        <v>469</v>
      </c>
      <c r="M1133" s="372" t="s">
        <v>2821</v>
      </c>
      <c r="N1133" s="373" t="s">
        <v>470</v>
      </c>
      <c r="O1133" s="374" t="s">
        <v>471</v>
      </c>
      <c r="P1133" s="374" t="s">
        <v>2821</v>
      </c>
    </row>
    <row r="1134" spans="1:16" ht="12.75">
      <c r="A1134">
        <v>1127</v>
      </c>
      <c r="B1134" s="557" t="s">
        <v>5482</v>
      </c>
      <c r="C1134" t="s">
        <v>5483</v>
      </c>
      <c r="D1134" s="107" t="s">
        <v>2439</v>
      </c>
      <c r="E1134">
        <v>100</v>
      </c>
      <c r="F1134" s="556">
        <v>8</v>
      </c>
      <c r="G1134" s="541">
        <v>84</v>
      </c>
      <c r="H1134" s="560">
        <v>0</v>
      </c>
      <c r="I1134" s="107">
        <v>1</v>
      </c>
      <c r="K1134" s="370">
        <v>6465</v>
      </c>
      <c r="L1134" s="371" t="s">
        <v>472</v>
      </c>
      <c r="M1134" s="372" t="s">
        <v>2821</v>
      </c>
      <c r="N1134" s="373" t="s">
        <v>473</v>
      </c>
      <c r="O1134" s="374" t="s">
        <v>474</v>
      </c>
      <c r="P1134" s="374" t="s">
        <v>2821</v>
      </c>
    </row>
    <row r="1135" spans="1:16" ht="12.75">
      <c r="A1135">
        <v>1128</v>
      </c>
      <c r="B1135" s="557">
        <v>1880</v>
      </c>
      <c r="C1135" t="s">
        <v>5484</v>
      </c>
      <c r="D1135" s="107" t="s">
        <v>2439</v>
      </c>
      <c r="E1135">
        <v>151</v>
      </c>
      <c r="F1135" s="556">
        <v>8</v>
      </c>
      <c r="G1135" s="541">
        <v>55</v>
      </c>
      <c r="H1135" s="560">
        <v>0</v>
      </c>
      <c r="I1135" s="107">
        <v>1</v>
      </c>
      <c r="K1135" s="370">
        <v>6467</v>
      </c>
      <c r="L1135" s="371" t="s">
        <v>475</v>
      </c>
      <c r="M1135" s="372" t="s">
        <v>2821</v>
      </c>
      <c r="N1135" s="373" t="s">
        <v>476</v>
      </c>
      <c r="O1135" s="374" t="s">
        <v>477</v>
      </c>
      <c r="P1135" s="374" t="s">
        <v>2821</v>
      </c>
    </row>
    <row r="1136" spans="1:16" ht="12.75">
      <c r="A1136">
        <v>1129</v>
      </c>
      <c r="B1136" s="557" t="s">
        <v>4066</v>
      </c>
      <c r="C1136" t="s">
        <v>5485</v>
      </c>
      <c r="D1136" s="107" t="s">
        <v>2439</v>
      </c>
      <c r="E1136">
        <v>689</v>
      </c>
      <c r="F1136" s="556">
        <v>8</v>
      </c>
      <c r="G1136" s="541">
        <v>11.99</v>
      </c>
      <c r="H1136" s="560">
        <v>0</v>
      </c>
      <c r="I1136" s="107">
        <v>3</v>
      </c>
      <c r="K1136" s="370">
        <v>6469</v>
      </c>
      <c r="L1136" s="371" t="s">
        <v>478</v>
      </c>
      <c r="M1136" s="372" t="s">
        <v>2821</v>
      </c>
      <c r="N1136" s="373" t="s">
        <v>479</v>
      </c>
      <c r="O1136" s="374" t="s">
        <v>480</v>
      </c>
      <c r="P1136" s="374" t="s">
        <v>2821</v>
      </c>
    </row>
    <row r="1137" spans="1:16" ht="12.75">
      <c r="A1137">
        <v>1130</v>
      </c>
      <c r="B1137" s="557" t="s">
        <v>5486</v>
      </c>
      <c r="C1137" t="s">
        <v>5487</v>
      </c>
      <c r="D1137" s="107" t="s">
        <v>2439</v>
      </c>
      <c r="E1137">
        <v>2125</v>
      </c>
      <c r="F1137" s="556">
        <v>8</v>
      </c>
      <c r="G1137" s="541">
        <v>3.82</v>
      </c>
      <c r="H1137" s="560">
        <v>0</v>
      </c>
      <c r="I1137" s="107">
        <v>3</v>
      </c>
      <c r="K1137" s="370">
        <v>6471</v>
      </c>
      <c r="L1137" s="371" t="s">
        <v>481</v>
      </c>
      <c r="M1137" s="372" t="s">
        <v>2821</v>
      </c>
      <c r="N1137" s="373" t="s">
        <v>482</v>
      </c>
      <c r="O1137" s="374" t="s">
        <v>483</v>
      </c>
      <c r="P1137" s="374" t="s">
        <v>2821</v>
      </c>
    </row>
    <row r="1138" spans="1:14" ht="12.75">
      <c r="A1138">
        <v>1131</v>
      </c>
      <c r="B1138" s="557" t="s">
        <v>5488</v>
      </c>
      <c r="C1138" t="s">
        <v>5489</v>
      </c>
      <c r="D1138" s="107" t="s">
        <v>2441</v>
      </c>
      <c r="E1138">
        <v>1</v>
      </c>
      <c r="F1138" s="556">
        <v>8</v>
      </c>
      <c r="G1138" s="541">
        <v>8100</v>
      </c>
      <c r="H1138" s="560">
        <v>0</v>
      </c>
      <c r="I1138" s="107">
        <v>1</v>
      </c>
      <c r="K1138" s="370">
        <v>6472</v>
      </c>
      <c r="L1138" s="371" t="s">
        <v>484</v>
      </c>
      <c r="M1138" s="372" t="s">
        <v>2821</v>
      </c>
      <c r="N1138" s="373"/>
    </row>
    <row r="1139" spans="1:16" ht="12.75">
      <c r="A1139">
        <v>1132</v>
      </c>
      <c r="B1139" s="557">
        <v>14145</v>
      </c>
      <c r="C1139" t="s">
        <v>5490</v>
      </c>
      <c r="D1139" s="107" t="s">
        <v>2522</v>
      </c>
      <c r="E1139">
        <v>1</v>
      </c>
      <c r="F1139" s="556">
        <v>8</v>
      </c>
      <c r="G1139" s="541">
        <v>8000</v>
      </c>
      <c r="H1139" s="560">
        <v>0</v>
      </c>
      <c r="I1139" s="107">
        <v>1</v>
      </c>
      <c r="K1139" s="370">
        <v>6488</v>
      </c>
      <c r="L1139" s="371" t="s">
        <v>485</v>
      </c>
      <c r="M1139" s="372" t="s">
        <v>974</v>
      </c>
      <c r="N1139" s="373" t="s">
        <v>486</v>
      </c>
      <c r="O1139" s="374" t="s">
        <v>485</v>
      </c>
      <c r="P1139" s="374" t="s">
        <v>3175</v>
      </c>
    </row>
    <row r="1140" spans="1:16" ht="12.75">
      <c r="A1140">
        <v>1133</v>
      </c>
      <c r="B1140" s="557" t="s">
        <v>5491</v>
      </c>
      <c r="C1140" t="s">
        <v>5492</v>
      </c>
      <c r="D1140" s="107" t="s">
        <v>2522</v>
      </c>
      <c r="E1140">
        <v>4</v>
      </c>
      <c r="F1140" s="556">
        <v>8</v>
      </c>
      <c r="G1140" s="541">
        <v>2000</v>
      </c>
      <c r="H1140" s="560">
        <v>0</v>
      </c>
      <c r="I1140" s="107">
        <v>1</v>
      </c>
      <c r="K1140" s="370">
        <v>6489</v>
      </c>
      <c r="L1140" s="371" t="s">
        <v>487</v>
      </c>
      <c r="M1140" s="372" t="s">
        <v>974</v>
      </c>
      <c r="N1140" s="373" t="s">
        <v>488</v>
      </c>
      <c r="O1140" s="374" t="s">
        <v>487</v>
      </c>
      <c r="P1140" s="374" t="s">
        <v>3175</v>
      </c>
    </row>
    <row r="1141" spans="1:16" ht="12.75">
      <c r="A1141">
        <v>1134</v>
      </c>
      <c r="B1141" s="557" t="s">
        <v>5493</v>
      </c>
      <c r="C1141" t="s">
        <v>5494</v>
      </c>
      <c r="D1141" s="107" t="s">
        <v>2522</v>
      </c>
      <c r="E1141">
        <v>2</v>
      </c>
      <c r="F1141" s="556">
        <v>8</v>
      </c>
      <c r="G1141" s="541">
        <v>4000</v>
      </c>
      <c r="H1141" s="560">
        <v>0</v>
      </c>
      <c r="I1141" s="107">
        <v>2</v>
      </c>
      <c r="K1141" s="370">
        <v>6490</v>
      </c>
      <c r="L1141" s="371" t="s">
        <v>489</v>
      </c>
      <c r="M1141" s="372" t="s">
        <v>3195</v>
      </c>
      <c r="N1141" s="373" t="s">
        <v>490</v>
      </c>
      <c r="O1141" s="374" t="s">
        <v>489</v>
      </c>
      <c r="P1141" s="374" t="s">
        <v>3197</v>
      </c>
    </row>
    <row r="1142" spans="1:16" ht="12.75">
      <c r="A1142">
        <v>1135</v>
      </c>
      <c r="B1142" s="557">
        <v>4894</v>
      </c>
      <c r="C1142" t="s">
        <v>5495</v>
      </c>
      <c r="D1142" s="107" t="s">
        <v>2439</v>
      </c>
      <c r="E1142">
        <v>350</v>
      </c>
      <c r="F1142" s="556">
        <v>8</v>
      </c>
      <c r="G1142" s="541">
        <v>22.6</v>
      </c>
      <c r="H1142" s="560">
        <v>0</v>
      </c>
      <c r="I1142" s="107">
        <v>1</v>
      </c>
      <c r="K1142" s="370">
        <v>6491</v>
      </c>
      <c r="L1142" s="371" t="s">
        <v>491</v>
      </c>
      <c r="M1142" s="372" t="s">
        <v>2720</v>
      </c>
      <c r="N1142" s="373" t="s">
        <v>492</v>
      </c>
      <c r="O1142" s="374" t="s">
        <v>491</v>
      </c>
      <c r="P1142" s="374" t="s">
        <v>2722</v>
      </c>
    </row>
    <row r="1143" spans="1:14" ht="12.75">
      <c r="A1143">
        <v>1136</v>
      </c>
      <c r="B1143" s="557">
        <v>14069</v>
      </c>
      <c r="C1143" t="s">
        <v>4180</v>
      </c>
      <c r="D1143" s="107" t="s">
        <v>2439</v>
      </c>
      <c r="E1143">
        <v>140</v>
      </c>
      <c r="F1143" s="556">
        <v>8</v>
      </c>
      <c r="G1143" s="541">
        <v>56</v>
      </c>
      <c r="H1143" s="560">
        <v>0</v>
      </c>
      <c r="I1143" s="107">
        <v>1</v>
      </c>
      <c r="K1143" s="370">
        <v>6492</v>
      </c>
      <c r="L1143" s="371" t="s">
        <v>703</v>
      </c>
      <c r="M1143" s="372" t="s">
        <v>2821</v>
      </c>
      <c r="N1143" s="373"/>
    </row>
    <row r="1144" spans="1:14" ht="12.75">
      <c r="A1144">
        <v>1137</v>
      </c>
      <c r="B1144" s="557" t="s">
        <v>5496</v>
      </c>
      <c r="C1144" t="s">
        <v>5497</v>
      </c>
      <c r="D1144" s="107" t="s">
        <v>2522</v>
      </c>
      <c r="E1144">
        <v>2</v>
      </c>
      <c r="F1144" s="556">
        <v>8</v>
      </c>
      <c r="G1144" s="541">
        <v>3850</v>
      </c>
      <c r="H1144" s="560">
        <v>0</v>
      </c>
      <c r="I1144" s="107">
        <v>2</v>
      </c>
      <c r="K1144" s="370">
        <v>6493</v>
      </c>
      <c r="L1144" s="371" t="s">
        <v>704</v>
      </c>
      <c r="M1144" s="372" t="s">
        <v>2821</v>
      </c>
      <c r="N1144" s="373"/>
    </row>
    <row r="1145" spans="1:14" ht="12.75">
      <c r="A1145">
        <v>1138</v>
      </c>
      <c r="B1145" s="557">
        <v>2273</v>
      </c>
      <c r="C1145" t="s">
        <v>5498</v>
      </c>
      <c r="D1145" s="107" t="s">
        <v>2439</v>
      </c>
      <c r="E1145">
        <v>75</v>
      </c>
      <c r="F1145" s="556">
        <v>8</v>
      </c>
      <c r="G1145" s="541">
        <v>100</v>
      </c>
      <c r="H1145" s="560">
        <v>0</v>
      </c>
      <c r="I1145" s="107">
        <v>1</v>
      </c>
      <c r="K1145" s="370">
        <v>6494</v>
      </c>
      <c r="L1145" s="371" t="s">
        <v>705</v>
      </c>
      <c r="M1145" s="372" t="s">
        <v>2821</v>
      </c>
      <c r="N1145" s="373"/>
    </row>
    <row r="1146" spans="1:16" ht="12.75">
      <c r="A1146">
        <v>1139</v>
      </c>
      <c r="B1146" s="557">
        <v>2377</v>
      </c>
      <c r="C1146" t="s">
        <v>5499</v>
      </c>
      <c r="D1146" s="107" t="s">
        <v>2522</v>
      </c>
      <c r="E1146">
        <v>3</v>
      </c>
      <c r="F1146" s="556">
        <v>8</v>
      </c>
      <c r="G1146" s="541">
        <v>2500</v>
      </c>
      <c r="H1146" s="560">
        <v>0</v>
      </c>
      <c r="I1146" s="107">
        <v>1</v>
      </c>
      <c r="K1146" s="370">
        <v>6510</v>
      </c>
      <c r="L1146" s="371" t="s">
        <v>706</v>
      </c>
      <c r="M1146" s="372" t="s">
        <v>751</v>
      </c>
      <c r="N1146" s="373" t="s">
        <v>707</v>
      </c>
      <c r="O1146" s="374" t="s">
        <v>708</v>
      </c>
      <c r="P1146" s="374" t="s">
        <v>754</v>
      </c>
    </row>
    <row r="1147" spans="1:16" ht="12.75">
      <c r="A1147">
        <v>1140</v>
      </c>
      <c r="B1147" s="557">
        <v>14091</v>
      </c>
      <c r="C1147" t="s">
        <v>5500</v>
      </c>
      <c r="D1147" s="107" t="s">
        <v>2522</v>
      </c>
      <c r="E1147">
        <v>5</v>
      </c>
      <c r="F1147" s="556">
        <v>8</v>
      </c>
      <c r="G1147" s="541">
        <v>1500</v>
      </c>
      <c r="H1147" s="560">
        <v>0</v>
      </c>
      <c r="I1147" s="107">
        <v>3</v>
      </c>
      <c r="K1147" s="370">
        <v>6511</v>
      </c>
      <c r="L1147" s="371" t="s">
        <v>709</v>
      </c>
      <c r="M1147" s="372" t="s">
        <v>751</v>
      </c>
      <c r="N1147" s="373" t="s">
        <v>710</v>
      </c>
      <c r="O1147" s="374" t="s">
        <v>2070</v>
      </c>
      <c r="P1147" s="374" t="s">
        <v>754</v>
      </c>
    </row>
    <row r="1148" spans="1:16" ht="12.75">
      <c r="A1148">
        <v>1141</v>
      </c>
      <c r="B1148" s="557">
        <v>16014</v>
      </c>
      <c r="C1148" t="s">
        <v>5501</v>
      </c>
      <c r="D1148" s="107" t="s">
        <v>2522</v>
      </c>
      <c r="E1148">
        <v>1</v>
      </c>
      <c r="F1148" s="556">
        <v>8</v>
      </c>
      <c r="G1148" s="541">
        <v>7500</v>
      </c>
      <c r="H1148" s="560">
        <v>0</v>
      </c>
      <c r="I1148" s="107">
        <v>1</v>
      </c>
      <c r="K1148" s="370">
        <v>6512</v>
      </c>
      <c r="L1148" s="371" t="s">
        <v>2071</v>
      </c>
      <c r="M1148" s="372" t="s">
        <v>751</v>
      </c>
      <c r="N1148" s="373" t="s">
        <v>2072</v>
      </c>
      <c r="O1148" s="374" t="s">
        <v>2073</v>
      </c>
      <c r="P1148" s="374" t="s">
        <v>754</v>
      </c>
    </row>
    <row r="1149" spans="1:16" ht="12.75">
      <c r="A1149">
        <v>1142</v>
      </c>
      <c r="B1149" s="557">
        <v>14144</v>
      </c>
      <c r="C1149" t="s">
        <v>5502</v>
      </c>
      <c r="D1149" s="107" t="s">
        <v>2522</v>
      </c>
      <c r="E1149">
        <v>78</v>
      </c>
      <c r="F1149" s="556">
        <v>7</v>
      </c>
      <c r="G1149" s="541">
        <v>95.51</v>
      </c>
      <c r="H1149" s="560">
        <v>0</v>
      </c>
      <c r="I1149" s="107">
        <v>4</v>
      </c>
      <c r="K1149" s="370">
        <v>6513</v>
      </c>
      <c r="L1149" s="371" t="s">
        <v>2074</v>
      </c>
      <c r="M1149" s="372" t="s">
        <v>751</v>
      </c>
      <c r="N1149" s="373" t="s">
        <v>2075</v>
      </c>
      <c r="O1149" s="374" t="s">
        <v>2076</v>
      </c>
      <c r="P1149" s="374" t="s">
        <v>754</v>
      </c>
    </row>
    <row r="1150" spans="1:16" ht="12.75">
      <c r="A1150">
        <v>1143</v>
      </c>
      <c r="B1150" s="557">
        <v>1442</v>
      </c>
      <c r="C1150" t="s">
        <v>5503</v>
      </c>
      <c r="D1150" s="107" t="s">
        <v>2522</v>
      </c>
      <c r="E1150">
        <v>3</v>
      </c>
      <c r="F1150" s="556">
        <v>7</v>
      </c>
      <c r="G1150" s="541">
        <v>2474</v>
      </c>
      <c r="H1150" s="560">
        <v>0</v>
      </c>
      <c r="I1150" s="107">
        <v>2</v>
      </c>
      <c r="K1150" s="370">
        <v>6514</v>
      </c>
      <c r="L1150" s="371" t="s">
        <v>2077</v>
      </c>
      <c r="M1150" s="372" t="s">
        <v>751</v>
      </c>
      <c r="N1150" s="373" t="s">
        <v>2078</v>
      </c>
      <c r="O1150" s="374" t="s">
        <v>2079</v>
      </c>
      <c r="P1150" s="374" t="s">
        <v>754</v>
      </c>
    </row>
    <row r="1151" spans="1:16" ht="12.75">
      <c r="A1151">
        <v>1144</v>
      </c>
      <c r="B1151" s="557">
        <v>1646</v>
      </c>
      <c r="C1151" t="s">
        <v>5504</v>
      </c>
      <c r="D1151" s="107" t="s">
        <v>2522</v>
      </c>
      <c r="E1151">
        <v>1</v>
      </c>
      <c r="F1151" s="556">
        <v>7</v>
      </c>
      <c r="G1151" s="541">
        <v>7200</v>
      </c>
      <c r="H1151" s="560">
        <v>0</v>
      </c>
      <c r="I1151" s="107">
        <v>1</v>
      </c>
      <c r="K1151" s="370">
        <v>6515</v>
      </c>
      <c r="L1151" s="371" t="s">
        <v>2080</v>
      </c>
      <c r="M1151" s="372" t="s">
        <v>751</v>
      </c>
      <c r="N1151" s="373" t="s">
        <v>2081</v>
      </c>
      <c r="O1151" s="374" t="s">
        <v>2082</v>
      </c>
      <c r="P1151" s="374" t="s">
        <v>754</v>
      </c>
    </row>
    <row r="1152" spans="1:16" ht="12.75">
      <c r="A1152">
        <v>1145</v>
      </c>
      <c r="B1152" s="557" t="s">
        <v>4300</v>
      </c>
      <c r="C1152" t="s">
        <v>5505</v>
      </c>
      <c r="D1152" s="107" t="s">
        <v>2522</v>
      </c>
      <c r="E1152">
        <v>36</v>
      </c>
      <c r="F1152" s="556">
        <v>7</v>
      </c>
      <c r="G1152" s="541">
        <v>200</v>
      </c>
      <c r="H1152" s="560">
        <v>0</v>
      </c>
      <c r="I1152" s="107">
        <v>1</v>
      </c>
      <c r="K1152" s="370">
        <v>6516</v>
      </c>
      <c r="L1152" s="371" t="s">
        <v>2083</v>
      </c>
      <c r="M1152" s="372" t="s">
        <v>751</v>
      </c>
      <c r="N1152" s="373" t="s">
        <v>2084</v>
      </c>
      <c r="O1152" s="374" t="s">
        <v>2085</v>
      </c>
      <c r="P1152" s="374" t="s">
        <v>754</v>
      </c>
    </row>
    <row r="1153" spans="1:16" ht="12.75">
      <c r="A1153">
        <v>1146</v>
      </c>
      <c r="B1153" s="557">
        <v>40164</v>
      </c>
      <c r="C1153" t="s">
        <v>5506</v>
      </c>
      <c r="D1153" s="107" t="s">
        <v>2439</v>
      </c>
      <c r="E1153">
        <v>800</v>
      </c>
      <c r="F1153" s="556">
        <v>7</v>
      </c>
      <c r="G1153" s="541">
        <v>9</v>
      </c>
      <c r="H1153" s="560">
        <v>0</v>
      </c>
      <c r="I1153" s="107">
        <v>1</v>
      </c>
      <c r="K1153" s="370">
        <v>6517</v>
      </c>
      <c r="L1153" s="371" t="s">
        <v>2086</v>
      </c>
      <c r="M1153" s="372" t="s">
        <v>751</v>
      </c>
      <c r="N1153" s="373" t="s">
        <v>2087</v>
      </c>
      <c r="O1153" s="374" t="s">
        <v>2088</v>
      </c>
      <c r="P1153" s="374" t="s">
        <v>754</v>
      </c>
    </row>
    <row r="1154" spans="1:16" ht="12.75">
      <c r="A1154">
        <v>1147</v>
      </c>
      <c r="B1154" s="557" t="s">
        <v>5507</v>
      </c>
      <c r="C1154" t="s">
        <v>5508</v>
      </c>
      <c r="D1154" s="107" t="s">
        <v>2522</v>
      </c>
      <c r="E1154">
        <v>2</v>
      </c>
      <c r="F1154" s="556">
        <v>7</v>
      </c>
      <c r="G1154" s="541">
        <v>3567.5</v>
      </c>
      <c r="H1154" s="560">
        <v>0</v>
      </c>
      <c r="I1154" s="107">
        <v>1</v>
      </c>
      <c r="K1154" s="370">
        <v>6520</v>
      </c>
      <c r="L1154" s="371" t="s">
        <v>2089</v>
      </c>
      <c r="M1154" s="372" t="s">
        <v>1779</v>
      </c>
      <c r="N1154" s="373" t="s">
        <v>2090</v>
      </c>
      <c r="O1154" s="374" t="s">
        <v>2091</v>
      </c>
      <c r="P1154" s="374" t="s">
        <v>1781</v>
      </c>
    </row>
    <row r="1155" spans="1:16" ht="12.75">
      <c r="A1155">
        <v>1148</v>
      </c>
      <c r="B1155" s="557">
        <v>1034</v>
      </c>
      <c r="C1155" t="s">
        <v>5509</v>
      </c>
      <c r="D1155" s="107" t="s">
        <v>2522</v>
      </c>
      <c r="E1155">
        <v>10</v>
      </c>
      <c r="F1155" s="556">
        <v>7</v>
      </c>
      <c r="G1155" s="541">
        <v>710</v>
      </c>
      <c r="H1155" s="560">
        <v>0</v>
      </c>
      <c r="I1155" s="107">
        <v>1</v>
      </c>
      <c r="K1155" s="370">
        <v>6521</v>
      </c>
      <c r="L1155" s="371" t="s">
        <v>2092</v>
      </c>
      <c r="M1155" s="372" t="s">
        <v>1779</v>
      </c>
      <c r="N1155" s="373" t="s">
        <v>2093</v>
      </c>
      <c r="O1155" s="374" t="s">
        <v>2094</v>
      </c>
      <c r="P1155" s="374" t="s">
        <v>1781</v>
      </c>
    </row>
    <row r="1156" spans="1:16" ht="12.75">
      <c r="A1156">
        <v>1149</v>
      </c>
      <c r="B1156" s="557" t="s">
        <v>5510</v>
      </c>
      <c r="C1156" t="s">
        <v>5511</v>
      </c>
      <c r="D1156" s="107" t="s">
        <v>2439</v>
      </c>
      <c r="E1156">
        <v>5670</v>
      </c>
      <c r="F1156" s="556">
        <v>7</v>
      </c>
      <c r="G1156" s="541">
        <v>1.25</v>
      </c>
      <c r="H1156" s="560">
        <v>0</v>
      </c>
      <c r="I1156" s="107">
        <v>1</v>
      </c>
      <c r="K1156" s="370">
        <v>6522</v>
      </c>
      <c r="L1156" s="371" t="s">
        <v>2095</v>
      </c>
      <c r="M1156" s="372" t="s">
        <v>1779</v>
      </c>
      <c r="N1156" s="373" t="s">
        <v>2096</v>
      </c>
      <c r="O1156" s="374" t="s">
        <v>2097</v>
      </c>
      <c r="P1156" s="374" t="s">
        <v>1781</v>
      </c>
    </row>
    <row r="1157" spans="1:16" ht="12.75">
      <c r="A1157">
        <v>1150</v>
      </c>
      <c r="B1157" s="557">
        <v>4725</v>
      </c>
      <c r="C1157" t="s">
        <v>5512</v>
      </c>
      <c r="D1157" s="107" t="s">
        <v>2522</v>
      </c>
      <c r="E1157">
        <v>11</v>
      </c>
      <c r="F1157" s="556">
        <v>7</v>
      </c>
      <c r="G1157" s="541">
        <v>636.46</v>
      </c>
      <c r="H1157" s="560">
        <v>0</v>
      </c>
      <c r="I1157" s="107">
        <v>2</v>
      </c>
      <c r="K1157" s="370">
        <v>6523</v>
      </c>
      <c r="L1157" s="371" t="s">
        <v>2098</v>
      </c>
      <c r="M1157" s="372" t="s">
        <v>1779</v>
      </c>
      <c r="N1157" s="373" t="s">
        <v>2099</v>
      </c>
      <c r="O1157" s="374" t="s">
        <v>2100</v>
      </c>
      <c r="P1157" s="374" t="s">
        <v>1781</v>
      </c>
    </row>
    <row r="1158" spans="1:16" ht="12.75">
      <c r="A1158">
        <v>1151</v>
      </c>
      <c r="B1158" s="557">
        <v>1371</v>
      </c>
      <c r="C1158" t="s">
        <v>5513</v>
      </c>
      <c r="D1158" s="107" t="s">
        <v>2522</v>
      </c>
      <c r="E1158">
        <v>2</v>
      </c>
      <c r="F1158" s="556">
        <v>7</v>
      </c>
      <c r="G1158" s="541">
        <v>3500</v>
      </c>
      <c r="H1158" s="560">
        <v>0</v>
      </c>
      <c r="I1158" s="107">
        <v>1</v>
      </c>
      <c r="K1158" s="370">
        <v>6524</v>
      </c>
      <c r="L1158" s="371" t="s">
        <v>2101</v>
      </c>
      <c r="M1158" s="372" t="s">
        <v>1779</v>
      </c>
      <c r="N1158" s="373" t="s">
        <v>2102</v>
      </c>
      <c r="O1158" s="374" t="s">
        <v>2103</v>
      </c>
      <c r="P1158" s="374" t="s">
        <v>1781</v>
      </c>
    </row>
    <row r="1159" spans="1:16" ht="12.75">
      <c r="A1159">
        <v>1152</v>
      </c>
      <c r="B1159" s="557">
        <v>14116</v>
      </c>
      <c r="C1159" t="s">
        <v>5514</v>
      </c>
      <c r="D1159" s="107" t="s">
        <v>2522</v>
      </c>
      <c r="E1159">
        <v>2</v>
      </c>
      <c r="F1159" s="556">
        <v>7</v>
      </c>
      <c r="G1159" s="541">
        <v>3500</v>
      </c>
      <c r="H1159" s="560">
        <v>0</v>
      </c>
      <c r="I1159" s="107">
        <v>1</v>
      </c>
      <c r="K1159" s="370">
        <v>6525</v>
      </c>
      <c r="L1159" s="371" t="s">
        <v>2104</v>
      </c>
      <c r="M1159" s="372" t="s">
        <v>1779</v>
      </c>
      <c r="N1159" s="373" t="s">
        <v>2105</v>
      </c>
      <c r="O1159" s="374" t="s">
        <v>2106</v>
      </c>
      <c r="P1159" s="374" t="s">
        <v>1781</v>
      </c>
    </row>
    <row r="1160" spans="1:16" ht="12.75">
      <c r="A1160">
        <v>1153</v>
      </c>
      <c r="B1160" s="557" t="s">
        <v>4140</v>
      </c>
      <c r="C1160" t="s">
        <v>4141</v>
      </c>
      <c r="D1160" s="107" t="s">
        <v>2441</v>
      </c>
      <c r="E1160">
        <v>1</v>
      </c>
      <c r="F1160" s="556">
        <v>7</v>
      </c>
      <c r="G1160" s="541">
        <v>7000</v>
      </c>
      <c r="H1160" s="560">
        <v>0</v>
      </c>
      <c r="I1160" s="107">
        <v>1</v>
      </c>
      <c r="K1160" s="370">
        <v>6526</v>
      </c>
      <c r="L1160" s="371" t="s">
        <v>2107</v>
      </c>
      <c r="M1160" s="372" t="s">
        <v>1779</v>
      </c>
      <c r="N1160" s="373" t="s">
        <v>2108</v>
      </c>
      <c r="O1160" s="374" t="s">
        <v>2109</v>
      </c>
      <c r="P1160" s="374" t="s">
        <v>1781</v>
      </c>
    </row>
    <row r="1161" spans="1:16" ht="12.75">
      <c r="A1161">
        <v>1154</v>
      </c>
      <c r="B1161" s="557">
        <v>4720</v>
      </c>
      <c r="C1161" t="s">
        <v>5515</v>
      </c>
      <c r="D1161" s="107" t="s">
        <v>2522</v>
      </c>
      <c r="E1161">
        <v>34</v>
      </c>
      <c r="F1161" s="556">
        <v>7</v>
      </c>
      <c r="G1161" s="541">
        <v>200</v>
      </c>
      <c r="H1161" s="560">
        <v>0</v>
      </c>
      <c r="I1161" s="107">
        <v>2</v>
      </c>
      <c r="K1161" s="370">
        <v>6527</v>
      </c>
      <c r="L1161" s="371" t="s">
        <v>2110</v>
      </c>
      <c r="M1161" s="372" t="s">
        <v>1779</v>
      </c>
      <c r="N1161" s="373" t="s">
        <v>2111</v>
      </c>
      <c r="O1161" s="374" t="s">
        <v>2112</v>
      </c>
      <c r="P1161" s="374" t="s">
        <v>1781</v>
      </c>
    </row>
    <row r="1162" spans="1:16" ht="12.75">
      <c r="A1162">
        <v>1155</v>
      </c>
      <c r="B1162" s="557">
        <v>6592</v>
      </c>
      <c r="C1162" t="s">
        <v>5516</v>
      </c>
      <c r="D1162" s="107" t="s">
        <v>2522</v>
      </c>
      <c r="E1162">
        <v>225</v>
      </c>
      <c r="F1162" s="556">
        <v>7</v>
      </c>
      <c r="G1162" s="541">
        <v>30.2</v>
      </c>
      <c r="H1162" s="560">
        <v>0</v>
      </c>
      <c r="I1162" s="107">
        <v>2</v>
      </c>
      <c r="K1162" s="370">
        <v>6530</v>
      </c>
      <c r="L1162" s="371" t="s">
        <v>2113</v>
      </c>
      <c r="M1162" s="372" t="s">
        <v>751</v>
      </c>
      <c r="N1162" s="373" t="s">
        <v>2114</v>
      </c>
      <c r="O1162" s="374" t="s">
        <v>2115</v>
      </c>
      <c r="P1162" s="374" t="s">
        <v>754</v>
      </c>
    </row>
    <row r="1163" spans="1:16" ht="12.75">
      <c r="A1163">
        <v>1156</v>
      </c>
      <c r="B1163" s="557">
        <v>40115</v>
      </c>
      <c r="C1163" t="s">
        <v>5517</v>
      </c>
      <c r="D1163" s="107" t="s">
        <v>2522</v>
      </c>
      <c r="E1163">
        <v>5</v>
      </c>
      <c r="F1163" s="556">
        <v>7</v>
      </c>
      <c r="G1163" s="541">
        <v>1350</v>
      </c>
      <c r="H1163" s="560">
        <v>0</v>
      </c>
      <c r="I1163" s="107">
        <v>1</v>
      </c>
      <c r="K1163" s="370">
        <v>6531</v>
      </c>
      <c r="L1163" s="371" t="s">
        <v>2116</v>
      </c>
      <c r="M1163" s="372" t="s">
        <v>751</v>
      </c>
      <c r="N1163" s="373" t="s">
        <v>2117</v>
      </c>
      <c r="O1163" s="374" t="s">
        <v>2118</v>
      </c>
      <c r="P1163" s="374" t="s">
        <v>754</v>
      </c>
    </row>
    <row r="1164" spans="1:16" ht="12.75">
      <c r="A1164">
        <v>1157</v>
      </c>
      <c r="B1164" s="557">
        <v>2430</v>
      </c>
      <c r="C1164" t="s">
        <v>5518</v>
      </c>
      <c r="D1164" s="107" t="s">
        <v>2522</v>
      </c>
      <c r="E1164">
        <v>28</v>
      </c>
      <c r="F1164" s="556">
        <v>7</v>
      </c>
      <c r="G1164" s="541">
        <v>237.64</v>
      </c>
      <c r="H1164" s="560">
        <v>0</v>
      </c>
      <c r="I1164" s="107">
        <v>5</v>
      </c>
      <c r="K1164" s="370">
        <v>6532</v>
      </c>
      <c r="L1164" s="371" t="s">
        <v>2119</v>
      </c>
      <c r="M1164" s="372" t="s">
        <v>751</v>
      </c>
      <c r="N1164" s="373" t="s">
        <v>2120</v>
      </c>
      <c r="O1164" s="374" t="s">
        <v>2121</v>
      </c>
      <c r="P1164" s="374" t="s">
        <v>754</v>
      </c>
    </row>
    <row r="1165" spans="1:16" ht="12.75">
      <c r="A1165">
        <v>1158</v>
      </c>
      <c r="B1165" s="557">
        <v>291</v>
      </c>
      <c r="C1165" t="s">
        <v>5519</v>
      </c>
      <c r="D1165" s="107" t="s">
        <v>1771</v>
      </c>
      <c r="E1165">
        <v>6</v>
      </c>
      <c r="F1165" s="556">
        <v>7</v>
      </c>
      <c r="G1165" s="541">
        <v>1157.89</v>
      </c>
      <c r="H1165" s="560">
        <v>0</v>
      </c>
      <c r="I1165" s="107">
        <v>3</v>
      </c>
      <c r="K1165" s="370">
        <v>6533</v>
      </c>
      <c r="L1165" s="371" t="s">
        <v>2122</v>
      </c>
      <c r="M1165" s="372" t="s">
        <v>751</v>
      </c>
      <c r="N1165" s="373" t="s">
        <v>2123</v>
      </c>
      <c r="O1165" s="374" t="s">
        <v>2124</v>
      </c>
      <c r="P1165" s="374" t="s">
        <v>754</v>
      </c>
    </row>
    <row r="1166" spans="1:16" ht="12.75">
      <c r="A1166">
        <v>1159</v>
      </c>
      <c r="B1166" s="557">
        <v>1535</v>
      </c>
      <c r="C1166" t="s">
        <v>5520</v>
      </c>
      <c r="D1166" s="107" t="s">
        <v>2522</v>
      </c>
      <c r="E1166">
        <v>1</v>
      </c>
      <c r="F1166" s="556">
        <v>7</v>
      </c>
      <c r="G1166" s="541">
        <v>6600</v>
      </c>
      <c r="H1166" s="560">
        <v>0</v>
      </c>
      <c r="I1166" s="107">
        <v>1</v>
      </c>
      <c r="K1166" s="370">
        <v>6540</v>
      </c>
      <c r="L1166" s="371" t="s">
        <v>2125</v>
      </c>
      <c r="M1166" s="372" t="s">
        <v>751</v>
      </c>
      <c r="N1166" s="373" t="s">
        <v>2126</v>
      </c>
      <c r="O1166" s="374" t="s">
        <v>2127</v>
      </c>
      <c r="P1166" s="374" t="s">
        <v>754</v>
      </c>
    </row>
    <row r="1167" spans="1:16" ht="12.75">
      <c r="A1167">
        <v>1160</v>
      </c>
      <c r="B1167" s="557" t="s">
        <v>4179</v>
      </c>
      <c r="C1167" t="s">
        <v>5521</v>
      </c>
      <c r="D1167" s="107" t="s">
        <v>2522</v>
      </c>
      <c r="E1167">
        <v>4</v>
      </c>
      <c r="F1167" s="556">
        <v>7</v>
      </c>
      <c r="G1167" s="541">
        <v>1650</v>
      </c>
      <c r="H1167" s="560">
        <v>0</v>
      </c>
      <c r="I1167" s="107">
        <v>1</v>
      </c>
      <c r="K1167" s="370">
        <v>6541</v>
      </c>
      <c r="L1167" s="371" t="s">
        <v>2128</v>
      </c>
      <c r="M1167" s="372" t="s">
        <v>751</v>
      </c>
      <c r="N1167" s="373" t="s">
        <v>2129</v>
      </c>
      <c r="O1167" s="374" t="s">
        <v>2130</v>
      </c>
      <c r="P1167" s="374" t="s">
        <v>754</v>
      </c>
    </row>
    <row r="1168" spans="1:16" ht="12.75">
      <c r="A1168">
        <v>1161</v>
      </c>
      <c r="B1168" s="557" t="s">
        <v>5522</v>
      </c>
      <c r="C1168" t="s">
        <v>5523</v>
      </c>
      <c r="D1168" s="107" t="s">
        <v>2439</v>
      </c>
      <c r="E1168">
        <v>225</v>
      </c>
      <c r="F1168" s="556">
        <v>7</v>
      </c>
      <c r="G1168" s="541">
        <v>29.27</v>
      </c>
      <c r="H1168" s="560">
        <v>0</v>
      </c>
      <c r="I1168" s="107">
        <v>1</v>
      </c>
      <c r="K1168" s="370">
        <v>6542</v>
      </c>
      <c r="L1168" s="371" t="s">
        <v>2131</v>
      </c>
      <c r="M1168" s="372" t="s">
        <v>751</v>
      </c>
      <c r="N1168" s="373" t="s">
        <v>2132</v>
      </c>
      <c r="O1168" s="374" t="s">
        <v>2133</v>
      </c>
      <c r="P1168" s="374" t="s">
        <v>754</v>
      </c>
    </row>
    <row r="1169" spans="1:16" ht="12.75">
      <c r="A1169">
        <v>1162</v>
      </c>
      <c r="B1169" s="557">
        <v>14571</v>
      </c>
      <c r="C1169" t="s">
        <v>5524</v>
      </c>
      <c r="D1169" s="107" t="s">
        <v>2522</v>
      </c>
      <c r="E1169">
        <v>18</v>
      </c>
      <c r="F1169" s="556">
        <v>7</v>
      </c>
      <c r="G1169" s="541">
        <v>365.83</v>
      </c>
      <c r="H1169" s="560">
        <v>0</v>
      </c>
      <c r="I1169" s="107">
        <v>2</v>
      </c>
      <c r="K1169" s="370">
        <v>6543</v>
      </c>
      <c r="L1169" s="371" t="s">
        <v>2134</v>
      </c>
      <c r="M1169" s="372" t="s">
        <v>751</v>
      </c>
      <c r="N1169" s="373" t="s">
        <v>763</v>
      </c>
      <c r="O1169" s="374" t="s">
        <v>764</v>
      </c>
      <c r="P1169" s="374" t="s">
        <v>754</v>
      </c>
    </row>
    <row r="1170" spans="1:16" ht="12.75">
      <c r="A1170">
        <v>1163</v>
      </c>
      <c r="B1170" s="557" t="s">
        <v>4311</v>
      </c>
      <c r="C1170" t="s">
        <v>5525</v>
      </c>
      <c r="D1170" s="107" t="s">
        <v>1773</v>
      </c>
      <c r="E1170">
        <v>145</v>
      </c>
      <c r="F1170" s="556">
        <v>7</v>
      </c>
      <c r="G1170" s="541">
        <v>45</v>
      </c>
      <c r="H1170" s="560">
        <v>0</v>
      </c>
      <c r="I1170" s="107">
        <v>1</v>
      </c>
      <c r="K1170" s="370">
        <v>6544</v>
      </c>
      <c r="L1170" s="371" t="s">
        <v>765</v>
      </c>
      <c r="M1170" s="372" t="s">
        <v>751</v>
      </c>
      <c r="N1170" s="373" t="s">
        <v>766</v>
      </c>
      <c r="O1170" s="374" t="s">
        <v>767</v>
      </c>
      <c r="P1170" s="374" t="s">
        <v>754</v>
      </c>
    </row>
    <row r="1171" spans="1:16" ht="12.75">
      <c r="A1171">
        <v>1164</v>
      </c>
      <c r="B1171" s="557">
        <v>1374</v>
      </c>
      <c r="C1171" t="s">
        <v>5526</v>
      </c>
      <c r="D1171" s="107" t="s">
        <v>2522</v>
      </c>
      <c r="E1171">
        <v>1</v>
      </c>
      <c r="F1171" s="556">
        <v>7</v>
      </c>
      <c r="G1171" s="541">
        <v>6500</v>
      </c>
      <c r="H1171" s="560">
        <v>0</v>
      </c>
      <c r="I1171" s="107">
        <v>1</v>
      </c>
      <c r="K1171" s="370">
        <v>6545</v>
      </c>
      <c r="L1171" s="371" t="s">
        <v>768</v>
      </c>
      <c r="M1171" s="372" t="s">
        <v>751</v>
      </c>
      <c r="N1171" s="373" t="s">
        <v>769</v>
      </c>
      <c r="O1171" s="374" t="s">
        <v>770</v>
      </c>
      <c r="P1171" s="374" t="s">
        <v>754</v>
      </c>
    </row>
    <row r="1172" spans="1:16" ht="12.75">
      <c r="A1172">
        <v>1165</v>
      </c>
      <c r="B1172" s="557">
        <v>40044</v>
      </c>
      <c r="C1172" t="s">
        <v>5527</v>
      </c>
      <c r="D1172" s="107" t="s">
        <v>3416</v>
      </c>
      <c r="E1172">
        <v>920</v>
      </c>
      <c r="F1172" s="556">
        <v>6</v>
      </c>
      <c r="G1172" s="541">
        <v>7</v>
      </c>
      <c r="H1172" s="560">
        <v>0</v>
      </c>
      <c r="I1172" s="107">
        <v>1</v>
      </c>
      <c r="K1172" s="370">
        <v>6546</v>
      </c>
      <c r="L1172" s="371" t="s">
        <v>771</v>
      </c>
      <c r="M1172" s="372" t="s">
        <v>751</v>
      </c>
      <c r="N1172" s="373" t="s">
        <v>772</v>
      </c>
      <c r="O1172" s="374" t="s">
        <v>773</v>
      </c>
      <c r="P1172" s="374" t="s">
        <v>754</v>
      </c>
    </row>
    <row r="1173" spans="1:16" ht="12.75">
      <c r="A1173">
        <v>1166</v>
      </c>
      <c r="B1173" s="557">
        <v>15136</v>
      </c>
      <c r="C1173" t="s">
        <v>5528</v>
      </c>
      <c r="D1173" s="107" t="s">
        <v>2522</v>
      </c>
      <c r="E1173">
        <v>4</v>
      </c>
      <c r="F1173" s="556">
        <v>6</v>
      </c>
      <c r="G1173" s="541">
        <v>1567.5</v>
      </c>
      <c r="H1173" s="560">
        <v>0</v>
      </c>
      <c r="I1173" s="107">
        <v>1</v>
      </c>
      <c r="K1173" s="370">
        <v>6547</v>
      </c>
      <c r="L1173" s="371" t="s">
        <v>774</v>
      </c>
      <c r="M1173" s="372" t="s">
        <v>751</v>
      </c>
      <c r="N1173" s="373" t="s">
        <v>775</v>
      </c>
      <c r="O1173" s="374" t="s">
        <v>776</v>
      </c>
      <c r="P1173" s="374" t="s">
        <v>754</v>
      </c>
    </row>
    <row r="1174" spans="1:16" ht="12.75">
      <c r="A1174">
        <v>1167</v>
      </c>
      <c r="B1174" s="557">
        <v>14104</v>
      </c>
      <c r="C1174" t="s">
        <v>5529</v>
      </c>
      <c r="D1174" s="107" t="s">
        <v>2522</v>
      </c>
      <c r="E1174">
        <v>4</v>
      </c>
      <c r="F1174" s="556">
        <v>6</v>
      </c>
      <c r="G1174" s="541">
        <v>1550</v>
      </c>
      <c r="H1174" s="560">
        <v>0</v>
      </c>
      <c r="I1174" s="107">
        <v>2</v>
      </c>
      <c r="K1174" s="370">
        <v>6549</v>
      </c>
      <c r="L1174" s="371" t="s">
        <v>777</v>
      </c>
      <c r="M1174" s="372" t="s">
        <v>751</v>
      </c>
      <c r="N1174" s="373" t="s">
        <v>778</v>
      </c>
      <c r="O1174" s="374" t="s">
        <v>777</v>
      </c>
      <c r="P1174" s="374" t="s">
        <v>754</v>
      </c>
    </row>
    <row r="1175" spans="1:16" ht="12.75">
      <c r="A1175">
        <v>1168</v>
      </c>
      <c r="B1175" s="557">
        <v>6585</v>
      </c>
      <c r="C1175" t="s">
        <v>5530</v>
      </c>
      <c r="D1175" s="107" t="s">
        <v>2522</v>
      </c>
      <c r="E1175">
        <v>1151</v>
      </c>
      <c r="F1175" s="556">
        <v>6</v>
      </c>
      <c r="G1175" s="541">
        <v>5.38</v>
      </c>
      <c r="H1175" s="560">
        <v>0</v>
      </c>
      <c r="I1175" s="107">
        <v>5</v>
      </c>
      <c r="K1175" s="370">
        <v>6550</v>
      </c>
      <c r="L1175" s="371" t="s">
        <v>779</v>
      </c>
      <c r="M1175" s="372" t="s">
        <v>751</v>
      </c>
      <c r="N1175" s="373" t="s">
        <v>780</v>
      </c>
      <c r="O1175" s="374" t="s">
        <v>779</v>
      </c>
      <c r="P1175" s="374" t="s">
        <v>754</v>
      </c>
    </row>
    <row r="1176" spans="1:16" ht="12.75">
      <c r="A1176">
        <v>1169</v>
      </c>
      <c r="B1176" s="557" t="s">
        <v>4334</v>
      </c>
      <c r="C1176" t="s">
        <v>5531</v>
      </c>
      <c r="D1176" s="107" t="s">
        <v>2522</v>
      </c>
      <c r="E1176">
        <v>6</v>
      </c>
      <c r="F1176" s="556">
        <v>6</v>
      </c>
      <c r="G1176" s="541">
        <v>1010.84</v>
      </c>
      <c r="H1176" s="560">
        <v>0</v>
      </c>
      <c r="I1176" s="107">
        <v>3</v>
      </c>
      <c r="K1176" s="370">
        <v>6551</v>
      </c>
      <c r="L1176" s="371" t="s">
        <v>781</v>
      </c>
      <c r="M1176" s="372" t="s">
        <v>751</v>
      </c>
      <c r="N1176" s="373" t="s">
        <v>782</v>
      </c>
      <c r="O1176" s="374" t="s">
        <v>781</v>
      </c>
      <c r="P1176" s="374" t="s">
        <v>754</v>
      </c>
    </row>
    <row r="1177" spans="1:16" ht="12.75">
      <c r="A1177">
        <v>1170</v>
      </c>
      <c r="B1177" s="557">
        <v>15086</v>
      </c>
      <c r="C1177" t="s">
        <v>5532</v>
      </c>
      <c r="D1177" s="107" t="s">
        <v>2522</v>
      </c>
      <c r="E1177">
        <v>4</v>
      </c>
      <c r="F1177" s="556">
        <v>6</v>
      </c>
      <c r="G1177" s="541">
        <v>1512.5</v>
      </c>
      <c r="H1177" s="560">
        <v>0</v>
      </c>
      <c r="I1177" s="107">
        <v>1</v>
      </c>
      <c r="K1177" s="370">
        <v>6552</v>
      </c>
      <c r="L1177" s="371" t="s">
        <v>783</v>
      </c>
      <c r="M1177" s="372" t="s">
        <v>751</v>
      </c>
      <c r="N1177" s="373" t="s">
        <v>784</v>
      </c>
      <c r="O1177" s="374" t="s">
        <v>783</v>
      </c>
      <c r="P1177" s="374" t="s">
        <v>754</v>
      </c>
    </row>
    <row r="1178" spans="1:16" ht="12.75">
      <c r="A1178">
        <v>1171</v>
      </c>
      <c r="B1178" s="557" t="s">
        <v>5533</v>
      </c>
      <c r="C1178" t="s">
        <v>5534</v>
      </c>
      <c r="D1178" s="107" t="s">
        <v>2522</v>
      </c>
      <c r="E1178">
        <v>15</v>
      </c>
      <c r="F1178" s="556">
        <v>6</v>
      </c>
      <c r="G1178" s="541">
        <v>401.5</v>
      </c>
      <c r="H1178" s="560">
        <v>0</v>
      </c>
      <c r="I1178" s="107">
        <v>1</v>
      </c>
      <c r="K1178" s="370">
        <v>6553</v>
      </c>
      <c r="L1178" s="371" t="s">
        <v>785</v>
      </c>
      <c r="M1178" s="372" t="s">
        <v>751</v>
      </c>
      <c r="N1178" s="373" t="s">
        <v>786</v>
      </c>
      <c r="O1178" s="374" t="s">
        <v>785</v>
      </c>
      <c r="P1178" s="374" t="s">
        <v>754</v>
      </c>
    </row>
    <row r="1179" spans="1:16" ht="12.75">
      <c r="A1179">
        <v>1172</v>
      </c>
      <c r="B1179" s="557">
        <v>1762</v>
      </c>
      <c r="C1179" t="s">
        <v>5535</v>
      </c>
      <c r="D1179" s="107" t="s">
        <v>2522</v>
      </c>
      <c r="E1179">
        <v>1</v>
      </c>
      <c r="F1179" s="556">
        <v>6</v>
      </c>
      <c r="G1179" s="541">
        <v>6000</v>
      </c>
      <c r="H1179" s="560">
        <v>0</v>
      </c>
      <c r="I1179" s="107">
        <v>1</v>
      </c>
      <c r="K1179" s="370">
        <v>6554</v>
      </c>
      <c r="L1179" s="371" t="s">
        <v>787</v>
      </c>
      <c r="M1179" s="372" t="s">
        <v>751</v>
      </c>
      <c r="N1179" s="373" t="s">
        <v>788</v>
      </c>
      <c r="O1179" s="374" t="s">
        <v>789</v>
      </c>
      <c r="P1179" s="374" t="s">
        <v>754</v>
      </c>
    </row>
    <row r="1180" spans="1:16" ht="12.75">
      <c r="A1180">
        <v>1173</v>
      </c>
      <c r="B1180" s="557">
        <v>15021</v>
      </c>
      <c r="C1180" t="s">
        <v>5536</v>
      </c>
      <c r="D1180" s="107" t="s">
        <v>2439</v>
      </c>
      <c r="E1180">
        <v>40</v>
      </c>
      <c r="F1180" s="556">
        <v>6</v>
      </c>
      <c r="G1180" s="541">
        <v>150</v>
      </c>
      <c r="H1180" s="560">
        <v>0</v>
      </c>
      <c r="I1180" s="107">
        <v>1</v>
      </c>
      <c r="K1180" s="370">
        <v>6555</v>
      </c>
      <c r="L1180" s="371" t="s">
        <v>790</v>
      </c>
      <c r="M1180" s="372" t="s">
        <v>751</v>
      </c>
      <c r="N1180" s="373" t="s">
        <v>791</v>
      </c>
      <c r="O1180" s="374" t="s">
        <v>792</v>
      </c>
      <c r="P1180" s="374" t="s">
        <v>754</v>
      </c>
    </row>
    <row r="1181" spans="1:16" ht="12.75">
      <c r="A1181">
        <v>1174</v>
      </c>
      <c r="B1181" s="557">
        <v>15144</v>
      </c>
      <c r="C1181" t="s">
        <v>5537</v>
      </c>
      <c r="D1181" s="107" t="s">
        <v>3415</v>
      </c>
      <c r="E1181">
        <v>6</v>
      </c>
      <c r="F1181" s="556">
        <v>6</v>
      </c>
      <c r="G1181" s="541">
        <v>1000</v>
      </c>
      <c r="H1181" s="560">
        <v>0</v>
      </c>
      <c r="I1181" s="107">
        <v>1</v>
      </c>
      <c r="K1181" s="370">
        <v>6556</v>
      </c>
      <c r="L1181" s="371" t="s">
        <v>793</v>
      </c>
      <c r="M1181" s="372" t="s">
        <v>751</v>
      </c>
      <c r="N1181" s="373" t="s">
        <v>794</v>
      </c>
      <c r="O1181" s="374" t="s">
        <v>795</v>
      </c>
      <c r="P1181" s="374" t="s">
        <v>754</v>
      </c>
    </row>
    <row r="1182" spans="1:16" ht="12.75">
      <c r="A1182">
        <v>1175</v>
      </c>
      <c r="B1182" s="557" t="s">
        <v>5538</v>
      </c>
      <c r="C1182" t="s">
        <v>5539</v>
      </c>
      <c r="D1182" s="107" t="s">
        <v>2522</v>
      </c>
      <c r="E1182">
        <v>40</v>
      </c>
      <c r="F1182" s="556">
        <v>6</v>
      </c>
      <c r="G1182" s="541">
        <v>150</v>
      </c>
      <c r="H1182" s="560">
        <v>0</v>
      </c>
      <c r="I1182" s="107">
        <v>1</v>
      </c>
      <c r="K1182" s="370">
        <v>6557</v>
      </c>
      <c r="L1182" s="371" t="s">
        <v>796</v>
      </c>
      <c r="M1182" s="372" t="s">
        <v>751</v>
      </c>
      <c r="N1182" s="373" t="s">
        <v>797</v>
      </c>
      <c r="O1182" s="374" t="s">
        <v>798</v>
      </c>
      <c r="P1182" s="374" t="s">
        <v>754</v>
      </c>
    </row>
    <row r="1183" spans="1:16" ht="12.75">
      <c r="A1183">
        <v>1176</v>
      </c>
      <c r="B1183" s="557" t="s">
        <v>5540</v>
      </c>
      <c r="C1183" t="s">
        <v>5541</v>
      </c>
      <c r="D1183" s="107" t="s">
        <v>2522</v>
      </c>
      <c r="E1183">
        <v>1</v>
      </c>
      <c r="F1183" s="556">
        <v>6</v>
      </c>
      <c r="G1183" s="541">
        <v>6000</v>
      </c>
      <c r="H1183" s="560">
        <v>0</v>
      </c>
      <c r="I1183" s="107">
        <v>1</v>
      </c>
      <c r="K1183" s="370">
        <v>6558</v>
      </c>
      <c r="L1183" s="371" t="s">
        <v>799</v>
      </c>
      <c r="M1183" s="372" t="s">
        <v>751</v>
      </c>
      <c r="N1183" s="373" t="s">
        <v>800</v>
      </c>
      <c r="O1183" s="374" t="s">
        <v>801</v>
      </c>
      <c r="P1183" s="374" t="s">
        <v>754</v>
      </c>
    </row>
    <row r="1184" spans="1:16" ht="12.75">
      <c r="A1184">
        <v>1177</v>
      </c>
      <c r="B1184" s="557">
        <v>14547</v>
      </c>
      <c r="C1184" t="s">
        <v>5542</v>
      </c>
      <c r="D1184" s="107" t="s">
        <v>2439</v>
      </c>
      <c r="E1184">
        <v>70</v>
      </c>
      <c r="F1184" s="556">
        <v>6</v>
      </c>
      <c r="G1184" s="541">
        <v>85</v>
      </c>
      <c r="H1184" s="560">
        <v>0</v>
      </c>
      <c r="I1184" s="107">
        <v>1</v>
      </c>
      <c r="K1184" s="370">
        <v>6559</v>
      </c>
      <c r="L1184" s="371" t="s">
        <v>802</v>
      </c>
      <c r="M1184" s="372" t="s">
        <v>751</v>
      </c>
      <c r="N1184" s="373" t="s">
        <v>803</v>
      </c>
      <c r="O1184" s="374" t="s">
        <v>804</v>
      </c>
      <c r="P1184" s="374" t="s">
        <v>754</v>
      </c>
    </row>
    <row r="1185" spans="1:16" ht="12.75">
      <c r="A1185">
        <v>1178</v>
      </c>
      <c r="B1185" s="557">
        <v>4882</v>
      </c>
      <c r="C1185" t="s">
        <v>5543</v>
      </c>
      <c r="D1185" s="107" t="s">
        <v>2522</v>
      </c>
      <c r="E1185">
        <v>3</v>
      </c>
      <c r="F1185" s="556">
        <v>6</v>
      </c>
      <c r="G1185" s="541">
        <v>1980</v>
      </c>
      <c r="H1185" s="560">
        <v>0</v>
      </c>
      <c r="I1185" s="107">
        <v>1</v>
      </c>
      <c r="K1185" s="370">
        <v>6560</v>
      </c>
      <c r="L1185" s="371" t="s">
        <v>2180</v>
      </c>
      <c r="M1185" s="372" t="s">
        <v>751</v>
      </c>
      <c r="N1185" s="373" t="s">
        <v>2181</v>
      </c>
      <c r="O1185" s="374" t="s">
        <v>2182</v>
      </c>
      <c r="P1185" s="374" t="s">
        <v>754</v>
      </c>
    </row>
    <row r="1186" spans="1:16" ht="12.75">
      <c r="A1186">
        <v>1179</v>
      </c>
      <c r="B1186" s="557">
        <v>1011</v>
      </c>
      <c r="C1186" t="s">
        <v>5544</v>
      </c>
      <c r="D1186" s="107" t="s">
        <v>2439</v>
      </c>
      <c r="E1186">
        <v>370</v>
      </c>
      <c r="F1186" s="556">
        <v>6</v>
      </c>
      <c r="G1186" s="541">
        <v>16</v>
      </c>
      <c r="H1186" s="560">
        <v>0</v>
      </c>
      <c r="I1186" s="107">
        <v>1</v>
      </c>
      <c r="K1186" s="370">
        <v>6561</v>
      </c>
      <c r="L1186" s="371" t="s">
        <v>2183</v>
      </c>
      <c r="M1186" s="372" t="s">
        <v>751</v>
      </c>
      <c r="N1186" s="373" t="s">
        <v>2184</v>
      </c>
      <c r="O1186" s="374" t="s">
        <v>2185</v>
      </c>
      <c r="P1186" s="374" t="s">
        <v>754</v>
      </c>
    </row>
    <row r="1187" spans="1:16" ht="12.75">
      <c r="A1187">
        <v>1180</v>
      </c>
      <c r="B1187" s="557" t="s">
        <v>3425</v>
      </c>
      <c r="C1187" t="s">
        <v>5545</v>
      </c>
      <c r="D1187" s="107" t="s">
        <v>2522</v>
      </c>
      <c r="E1187">
        <v>10</v>
      </c>
      <c r="F1187" s="556">
        <v>6</v>
      </c>
      <c r="G1187" s="541">
        <v>591.08</v>
      </c>
      <c r="H1187" s="560">
        <v>0</v>
      </c>
      <c r="I1187" s="107">
        <v>5</v>
      </c>
      <c r="K1187" s="370">
        <v>6562</v>
      </c>
      <c r="L1187" s="371" t="s">
        <v>2186</v>
      </c>
      <c r="M1187" s="372" t="s">
        <v>2821</v>
      </c>
      <c r="N1187" s="373" t="s">
        <v>2187</v>
      </c>
      <c r="O1187" s="374" t="s">
        <v>2188</v>
      </c>
      <c r="P1187" s="374" t="s">
        <v>2821</v>
      </c>
    </row>
    <row r="1188" spans="1:16" ht="12.75">
      <c r="A1188">
        <v>1181</v>
      </c>
      <c r="B1188" s="557">
        <v>2075</v>
      </c>
      <c r="C1188" t="s">
        <v>5546</v>
      </c>
      <c r="D1188" s="107" t="s">
        <v>1772</v>
      </c>
      <c r="E1188">
        <v>78</v>
      </c>
      <c r="F1188" s="556">
        <v>6</v>
      </c>
      <c r="G1188" s="541">
        <v>75</v>
      </c>
      <c r="H1188" s="560">
        <v>0</v>
      </c>
      <c r="I1188" s="107">
        <v>1</v>
      </c>
      <c r="K1188" s="370">
        <v>6563</v>
      </c>
      <c r="L1188" s="371" t="s">
        <v>2189</v>
      </c>
      <c r="M1188" s="372" t="s">
        <v>751</v>
      </c>
      <c r="N1188" s="373" t="s">
        <v>2190</v>
      </c>
      <c r="O1188" s="374" t="s">
        <v>2191</v>
      </c>
      <c r="P1188" s="374" t="s">
        <v>754</v>
      </c>
    </row>
    <row r="1189" spans="1:16" ht="12.75">
      <c r="A1189">
        <v>1182</v>
      </c>
      <c r="B1189" s="557" t="s">
        <v>4336</v>
      </c>
      <c r="C1189" t="s">
        <v>5547</v>
      </c>
      <c r="D1189" s="107" t="s">
        <v>2522</v>
      </c>
      <c r="E1189">
        <v>50</v>
      </c>
      <c r="F1189" s="556">
        <v>6</v>
      </c>
      <c r="G1189" s="541">
        <v>115.38</v>
      </c>
      <c r="H1189" s="560">
        <v>0</v>
      </c>
      <c r="I1189" s="107">
        <v>1</v>
      </c>
      <c r="K1189" s="370">
        <v>6565</v>
      </c>
      <c r="L1189" s="371" t="s">
        <v>2192</v>
      </c>
      <c r="M1189" s="372" t="s">
        <v>751</v>
      </c>
      <c r="N1189" s="373" t="s">
        <v>2193</v>
      </c>
      <c r="O1189" s="374" t="s">
        <v>2194</v>
      </c>
      <c r="P1189" s="374" t="s">
        <v>754</v>
      </c>
    </row>
    <row r="1190" spans="1:16" ht="12.75">
      <c r="A1190">
        <v>1183</v>
      </c>
      <c r="B1190" s="557" t="s">
        <v>4278</v>
      </c>
      <c r="C1190" t="s">
        <v>5548</v>
      </c>
      <c r="D1190" s="107" t="s">
        <v>1773</v>
      </c>
      <c r="E1190">
        <v>33</v>
      </c>
      <c r="F1190" s="556">
        <v>6</v>
      </c>
      <c r="G1190" s="541">
        <v>174.69</v>
      </c>
      <c r="H1190" s="560">
        <v>0</v>
      </c>
      <c r="I1190" s="107">
        <v>1</v>
      </c>
      <c r="K1190" s="370">
        <v>6566</v>
      </c>
      <c r="L1190" s="371" t="s">
        <v>2195</v>
      </c>
      <c r="M1190" s="372" t="s">
        <v>751</v>
      </c>
      <c r="N1190" s="373" t="s">
        <v>2196</v>
      </c>
      <c r="O1190" s="374" t="s">
        <v>2197</v>
      </c>
      <c r="P1190" s="374" t="s">
        <v>754</v>
      </c>
    </row>
    <row r="1191" spans="1:16" ht="12.75">
      <c r="A1191">
        <v>1184</v>
      </c>
      <c r="B1191" s="557" t="s">
        <v>4144</v>
      </c>
      <c r="C1191" t="s">
        <v>5549</v>
      </c>
      <c r="D1191" s="107" t="s">
        <v>2439</v>
      </c>
      <c r="E1191">
        <v>930</v>
      </c>
      <c r="F1191" s="556">
        <v>6</v>
      </c>
      <c r="G1191" s="541">
        <v>6.18</v>
      </c>
      <c r="H1191" s="560">
        <v>0</v>
      </c>
      <c r="I1191" s="107">
        <v>6</v>
      </c>
      <c r="K1191" s="370">
        <v>6567</v>
      </c>
      <c r="L1191" s="371" t="s">
        <v>2198</v>
      </c>
      <c r="M1191" s="372" t="s">
        <v>751</v>
      </c>
      <c r="N1191" s="373" t="s">
        <v>2199</v>
      </c>
      <c r="O1191" s="374" t="s">
        <v>2200</v>
      </c>
      <c r="P1191" s="374" t="s">
        <v>754</v>
      </c>
    </row>
    <row r="1192" spans="1:16" ht="12.75">
      <c r="A1192">
        <v>1185</v>
      </c>
      <c r="B1192" s="557">
        <v>8133</v>
      </c>
      <c r="C1192" t="s">
        <v>5550</v>
      </c>
      <c r="D1192" s="107" t="s">
        <v>2522</v>
      </c>
      <c r="E1192">
        <v>52</v>
      </c>
      <c r="F1192" s="556">
        <v>6</v>
      </c>
      <c r="G1192" s="541">
        <v>110.31</v>
      </c>
      <c r="H1192" s="560">
        <v>0</v>
      </c>
      <c r="I1192" s="107">
        <v>2</v>
      </c>
      <c r="K1192" s="370">
        <v>6568</v>
      </c>
      <c r="L1192" s="371" t="s">
        <v>2201</v>
      </c>
      <c r="M1192" s="372" t="s">
        <v>751</v>
      </c>
      <c r="N1192" s="373" t="s">
        <v>2202</v>
      </c>
      <c r="O1192" s="374" t="s">
        <v>2203</v>
      </c>
      <c r="P1192" s="374" t="s">
        <v>754</v>
      </c>
    </row>
    <row r="1193" spans="1:16" ht="12.75">
      <c r="A1193">
        <v>1186</v>
      </c>
      <c r="B1193" s="557">
        <v>14156</v>
      </c>
      <c r="C1193" t="s">
        <v>5551</v>
      </c>
      <c r="D1193" s="107" t="s">
        <v>2522</v>
      </c>
      <c r="E1193">
        <v>8</v>
      </c>
      <c r="F1193" s="556">
        <v>6</v>
      </c>
      <c r="G1193" s="541">
        <v>709.95</v>
      </c>
      <c r="H1193" s="560">
        <v>0</v>
      </c>
      <c r="I1193" s="107">
        <v>1</v>
      </c>
      <c r="K1193" s="370">
        <v>6569</v>
      </c>
      <c r="L1193" s="371" t="s">
        <v>2204</v>
      </c>
      <c r="M1193" s="372" t="s">
        <v>974</v>
      </c>
      <c r="N1193" s="373" t="s">
        <v>2205</v>
      </c>
      <c r="O1193" s="374" t="s">
        <v>2204</v>
      </c>
      <c r="P1193" s="374" t="s">
        <v>3175</v>
      </c>
    </row>
    <row r="1194" spans="1:16" ht="12.75">
      <c r="A1194">
        <v>1187</v>
      </c>
      <c r="B1194" s="557">
        <v>1634</v>
      </c>
      <c r="C1194" t="s">
        <v>5552</v>
      </c>
      <c r="D1194" s="107" t="s">
        <v>2522</v>
      </c>
      <c r="E1194">
        <v>3</v>
      </c>
      <c r="F1194" s="556">
        <v>6</v>
      </c>
      <c r="G1194" s="541">
        <v>1877.79</v>
      </c>
      <c r="H1194" s="560">
        <v>0</v>
      </c>
      <c r="I1194" s="107">
        <v>2</v>
      </c>
      <c r="K1194" s="370">
        <v>6570</v>
      </c>
      <c r="L1194" s="371" t="s">
        <v>2206</v>
      </c>
      <c r="M1194" s="372" t="s">
        <v>974</v>
      </c>
      <c r="N1194" s="373" t="s">
        <v>2207</v>
      </c>
      <c r="O1194" s="374" t="s">
        <v>2206</v>
      </c>
      <c r="P1194" s="374" t="s">
        <v>3175</v>
      </c>
    </row>
    <row r="1195" spans="1:16" ht="12.75">
      <c r="A1195">
        <v>1188</v>
      </c>
      <c r="B1195" s="557">
        <v>496</v>
      </c>
      <c r="C1195" t="s">
        <v>5553</v>
      </c>
      <c r="D1195" s="107" t="s">
        <v>2439</v>
      </c>
      <c r="E1195">
        <v>9</v>
      </c>
      <c r="F1195" s="556">
        <v>6</v>
      </c>
      <c r="G1195" s="541">
        <v>625</v>
      </c>
      <c r="H1195" s="560">
        <v>0</v>
      </c>
      <c r="I1195" s="107">
        <v>1</v>
      </c>
      <c r="K1195" s="370">
        <v>6571</v>
      </c>
      <c r="L1195" s="371" t="s">
        <v>2208</v>
      </c>
      <c r="M1195" s="372" t="s">
        <v>751</v>
      </c>
      <c r="N1195" s="373" t="s">
        <v>2209</v>
      </c>
      <c r="O1195" s="374" t="s">
        <v>2208</v>
      </c>
      <c r="P1195" s="374" t="s">
        <v>754</v>
      </c>
    </row>
    <row r="1196" spans="1:16" ht="12.75">
      <c r="A1196">
        <v>1189</v>
      </c>
      <c r="B1196" s="557">
        <v>16553</v>
      </c>
      <c r="C1196" t="s">
        <v>4329</v>
      </c>
      <c r="D1196" s="107" t="s">
        <v>2522</v>
      </c>
      <c r="E1196">
        <v>7</v>
      </c>
      <c r="F1196" s="556">
        <v>6</v>
      </c>
      <c r="G1196" s="541">
        <v>801.44</v>
      </c>
      <c r="H1196" s="560">
        <v>0</v>
      </c>
      <c r="I1196" s="107">
        <v>1</v>
      </c>
      <c r="K1196" s="370">
        <v>6572</v>
      </c>
      <c r="L1196" s="371" t="s">
        <v>2210</v>
      </c>
      <c r="M1196" s="372" t="s">
        <v>751</v>
      </c>
      <c r="N1196" s="373" t="s">
        <v>2211</v>
      </c>
      <c r="O1196" s="374" t="s">
        <v>2210</v>
      </c>
      <c r="P1196" s="374" t="s">
        <v>754</v>
      </c>
    </row>
    <row r="1197" spans="1:14" ht="12.75">
      <c r="A1197">
        <v>1190</v>
      </c>
      <c r="B1197" s="557">
        <v>14151</v>
      </c>
      <c r="C1197" t="s">
        <v>5554</v>
      </c>
      <c r="D1197" s="107" t="s">
        <v>2522</v>
      </c>
      <c r="E1197">
        <v>1</v>
      </c>
      <c r="F1197" s="556">
        <v>6</v>
      </c>
      <c r="G1197" s="541">
        <v>5500</v>
      </c>
      <c r="H1197" s="560">
        <v>0</v>
      </c>
      <c r="I1197" s="107">
        <v>1</v>
      </c>
      <c r="K1197" s="370">
        <v>6573</v>
      </c>
      <c r="L1197" s="371" t="s">
        <v>2227</v>
      </c>
      <c r="M1197" s="372" t="s">
        <v>2821</v>
      </c>
      <c r="N1197" s="373"/>
    </row>
    <row r="1198" spans="1:14" ht="12.75">
      <c r="A1198">
        <v>1191</v>
      </c>
      <c r="B1198" s="557" t="s">
        <v>5555</v>
      </c>
      <c r="C1198" t="s">
        <v>1716</v>
      </c>
      <c r="D1198" s="107" t="s">
        <v>2439</v>
      </c>
      <c r="E1198">
        <v>11</v>
      </c>
      <c r="F1198" s="556">
        <v>6</v>
      </c>
      <c r="G1198" s="541">
        <v>500</v>
      </c>
      <c r="H1198" s="560">
        <v>0</v>
      </c>
      <c r="I1198" s="107">
        <v>1</v>
      </c>
      <c r="K1198" s="370">
        <v>6574</v>
      </c>
      <c r="L1198" s="371" t="s">
        <v>2228</v>
      </c>
      <c r="M1198" s="372" t="s">
        <v>2821</v>
      </c>
      <c r="N1198" s="373"/>
    </row>
    <row r="1199" spans="1:14" ht="12.75">
      <c r="A1199">
        <v>1192</v>
      </c>
      <c r="B1199" s="557">
        <v>40154</v>
      </c>
      <c r="C1199" t="s">
        <v>5556</v>
      </c>
      <c r="D1199" s="107" t="s">
        <v>2522</v>
      </c>
      <c r="E1199">
        <v>1</v>
      </c>
      <c r="F1199" s="556">
        <v>6</v>
      </c>
      <c r="G1199" s="541">
        <v>5500</v>
      </c>
      <c r="H1199" s="560">
        <v>0</v>
      </c>
      <c r="I1199" s="107">
        <v>1</v>
      </c>
      <c r="K1199" s="370">
        <v>6575</v>
      </c>
      <c r="L1199" s="371" t="s">
        <v>2229</v>
      </c>
      <c r="M1199" s="372" t="s">
        <v>2821</v>
      </c>
      <c r="N1199" s="373"/>
    </row>
    <row r="1200" spans="1:14" ht="12.75">
      <c r="A1200">
        <v>1193</v>
      </c>
      <c r="B1200" s="557">
        <v>14502</v>
      </c>
      <c r="C1200" t="s">
        <v>5557</v>
      </c>
      <c r="D1200" s="107" t="s">
        <v>2522</v>
      </c>
      <c r="E1200">
        <v>1</v>
      </c>
      <c r="F1200" s="556">
        <v>5</v>
      </c>
      <c r="G1200" s="541">
        <v>5445</v>
      </c>
      <c r="H1200" s="560">
        <v>0</v>
      </c>
      <c r="I1200" s="107">
        <v>1</v>
      </c>
      <c r="K1200" s="370">
        <v>6576</v>
      </c>
      <c r="L1200" s="371" t="s">
        <v>2230</v>
      </c>
      <c r="M1200" s="372" t="s">
        <v>2821</v>
      </c>
      <c r="N1200" s="373"/>
    </row>
    <row r="1201" spans="1:14" ht="12.75">
      <c r="A1201">
        <v>1194</v>
      </c>
      <c r="B1201" s="557" t="s">
        <v>4328</v>
      </c>
      <c r="C1201" t="s">
        <v>5558</v>
      </c>
      <c r="D1201" s="107" t="s">
        <v>2522</v>
      </c>
      <c r="E1201">
        <v>60</v>
      </c>
      <c r="F1201" s="556">
        <v>5</v>
      </c>
      <c r="G1201" s="541">
        <v>90.67</v>
      </c>
      <c r="H1201" s="560">
        <v>0</v>
      </c>
      <c r="I1201" s="107">
        <v>1</v>
      </c>
      <c r="K1201" s="370">
        <v>6577</v>
      </c>
      <c r="L1201" s="371" t="s">
        <v>3353</v>
      </c>
      <c r="M1201" s="372" t="s">
        <v>2821</v>
      </c>
      <c r="N1201" s="373"/>
    </row>
    <row r="1202" spans="1:14" ht="12.75">
      <c r="A1202">
        <v>1195</v>
      </c>
      <c r="B1202" s="557">
        <v>14002</v>
      </c>
      <c r="C1202" t="s">
        <v>5559</v>
      </c>
      <c r="D1202" s="107" t="s">
        <v>2522</v>
      </c>
      <c r="E1202">
        <v>1</v>
      </c>
      <c r="F1202" s="556">
        <v>5</v>
      </c>
      <c r="G1202" s="541">
        <v>5435.36</v>
      </c>
      <c r="H1202" s="560">
        <v>0</v>
      </c>
      <c r="I1202" s="107">
        <v>1</v>
      </c>
      <c r="K1202" s="370">
        <v>6579</v>
      </c>
      <c r="L1202" s="371" t="s">
        <v>3354</v>
      </c>
      <c r="M1202" s="372" t="s">
        <v>2821</v>
      </c>
      <c r="N1202" s="375"/>
    </row>
    <row r="1203" spans="1:14" ht="12.75">
      <c r="A1203">
        <v>1196</v>
      </c>
      <c r="B1203" s="557">
        <v>454</v>
      </c>
      <c r="C1203" t="s">
        <v>5560</v>
      </c>
      <c r="D1203" s="107" t="s">
        <v>2439</v>
      </c>
      <c r="E1203">
        <v>72</v>
      </c>
      <c r="F1203" s="556">
        <v>5</v>
      </c>
      <c r="G1203" s="541">
        <v>75.42</v>
      </c>
      <c r="H1203" s="560">
        <v>0</v>
      </c>
      <c r="I1203" s="107">
        <v>1</v>
      </c>
      <c r="K1203" s="370">
        <v>6580</v>
      </c>
      <c r="L1203" s="371" t="s">
        <v>3355</v>
      </c>
      <c r="M1203" s="372" t="s">
        <v>2821</v>
      </c>
      <c r="N1203" s="373"/>
    </row>
    <row r="1204" spans="1:14" ht="12.75">
      <c r="A1204">
        <v>1197</v>
      </c>
      <c r="B1204" s="557">
        <v>4884</v>
      </c>
      <c r="C1204" t="s">
        <v>5561</v>
      </c>
      <c r="D1204" s="107" t="s">
        <v>2522</v>
      </c>
      <c r="E1204">
        <v>6</v>
      </c>
      <c r="F1204" s="556">
        <v>5</v>
      </c>
      <c r="G1204" s="541">
        <v>900.01</v>
      </c>
      <c r="H1204" s="560">
        <v>0</v>
      </c>
      <c r="I1204" s="107">
        <v>1</v>
      </c>
      <c r="K1204" s="370">
        <v>6581</v>
      </c>
      <c r="L1204" s="371" t="s">
        <v>3356</v>
      </c>
      <c r="M1204" s="372" t="s">
        <v>2821</v>
      </c>
      <c r="N1204" s="373"/>
    </row>
    <row r="1205" spans="1:14" ht="12.75">
      <c r="A1205">
        <v>1198</v>
      </c>
      <c r="B1205" s="557">
        <v>40067</v>
      </c>
      <c r="C1205" t="s">
        <v>5562</v>
      </c>
      <c r="D1205" s="107" t="s">
        <v>1771</v>
      </c>
      <c r="E1205">
        <v>67</v>
      </c>
      <c r="F1205" s="556">
        <v>5</v>
      </c>
      <c r="G1205" s="541">
        <v>81</v>
      </c>
      <c r="H1205" s="560">
        <v>0</v>
      </c>
      <c r="I1205" s="107">
        <v>1</v>
      </c>
      <c r="K1205" s="370">
        <v>6582</v>
      </c>
      <c r="L1205" s="371" t="s">
        <v>3357</v>
      </c>
      <c r="M1205" s="372" t="s">
        <v>2821</v>
      </c>
      <c r="N1205" s="373"/>
    </row>
    <row r="1206" spans="1:14" ht="12.75">
      <c r="A1206">
        <v>1199</v>
      </c>
      <c r="B1206" s="557">
        <v>6555</v>
      </c>
      <c r="C1206" t="s">
        <v>5563</v>
      </c>
      <c r="D1206" s="107" t="s">
        <v>2439</v>
      </c>
      <c r="E1206">
        <v>894</v>
      </c>
      <c r="F1206" s="556">
        <v>5</v>
      </c>
      <c r="G1206" s="541">
        <v>6.02</v>
      </c>
      <c r="H1206" s="560">
        <v>0</v>
      </c>
      <c r="I1206" s="107">
        <v>3</v>
      </c>
      <c r="K1206" s="370">
        <v>6583</v>
      </c>
      <c r="L1206" s="371" t="s">
        <v>3358</v>
      </c>
      <c r="M1206" s="372" t="s">
        <v>2821</v>
      </c>
      <c r="N1206" s="373"/>
    </row>
    <row r="1207" spans="1:14" ht="12.75">
      <c r="A1207">
        <v>1200</v>
      </c>
      <c r="B1207" s="557">
        <v>40045</v>
      </c>
      <c r="C1207" t="s">
        <v>5110</v>
      </c>
      <c r="D1207" s="107" t="s">
        <v>3416</v>
      </c>
      <c r="E1207">
        <v>530</v>
      </c>
      <c r="F1207" s="556">
        <v>5</v>
      </c>
      <c r="G1207" s="541">
        <v>10</v>
      </c>
      <c r="H1207" s="560">
        <v>0</v>
      </c>
      <c r="I1207" s="107">
        <v>1</v>
      </c>
      <c r="K1207" s="370">
        <v>6584</v>
      </c>
      <c r="L1207" s="371" t="s">
        <v>3359</v>
      </c>
      <c r="M1207" s="372" t="s">
        <v>2821</v>
      </c>
      <c r="N1207" s="373"/>
    </row>
    <row r="1208" spans="1:14" ht="12.75">
      <c r="A1208">
        <v>1201</v>
      </c>
      <c r="B1208" s="557">
        <v>14076</v>
      </c>
      <c r="C1208" t="s">
        <v>5564</v>
      </c>
      <c r="D1208" s="107" t="s">
        <v>2439</v>
      </c>
      <c r="E1208">
        <v>150</v>
      </c>
      <c r="F1208" s="556">
        <v>5</v>
      </c>
      <c r="G1208" s="541">
        <v>35</v>
      </c>
      <c r="H1208" s="560">
        <v>0</v>
      </c>
      <c r="I1208" s="107">
        <v>1</v>
      </c>
      <c r="K1208" s="370">
        <v>6585</v>
      </c>
      <c r="L1208" s="371" t="s">
        <v>3360</v>
      </c>
      <c r="M1208" s="372" t="s">
        <v>2821</v>
      </c>
      <c r="N1208" s="373"/>
    </row>
    <row r="1209" spans="1:14" ht="12.75">
      <c r="A1209">
        <v>1202</v>
      </c>
      <c r="B1209" s="557" t="s">
        <v>4301</v>
      </c>
      <c r="C1209" t="s">
        <v>5565</v>
      </c>
      <c r="D1209" s="107" t="s">
        <v>2439</v>
      </c>
      <c r="E1209">
        <v>39800</v>
      </c>
      <c r="F1209" s="556">
        <v>5</v>
      </c>
      <c r="G1209" s="541">
        <v>0.13</v>
      </c>
      <c r="H1209" s="560">
        <v>0</v>
      </c>
      <c r="I1209" s="107">
        <v>1</v>
      </c>
      <c r="K1209" s="370">
        <v>6586</v>
      </c>
      <c r="L1209" s="371" t="s">
        <v>3361</v>
      </c>
      <c r="M1209" s="372" t="s">
        <v>2821</v>
      </c>
      <c r="N1209" s="373"/>
    </row>
    <row r="1210" spans="1:14" ht="12.75">
      <c r="A1210">
        <v>1203</v>
      </c>
      <c r="B1210" s="557">
        <v>1226</v>
      </c>
      <c r="C1210" t="s">
        <v>4208</v>
      </c>
      <c r="D1210" s="107" t="s">
        <v>2522</v>
      </c>
      <c r="E1210">
        <v>1</v>
      </c>
      <c r="F1210" s="556">
        <v>5</v>
      </c>
      <c r="G1210" s="541">
        <v>5151.5</v>
      </c>
      <c r="H1210" s="560">
        <v>0</v>
      </c>
      <c r="I1210" s="107">
        <v>1</v>
      </c>
      <c r="K1210" s="370">
        <v>6587</v>
      </c>
      <c r="L1210" s="371" t="s">
        <v>3362</v>
      </c>
      <c r="M1210" s="372" t="s">
        <v>2821</v>
      </c>
      <c r="N1210" s="373"/>
    </row>
    <row r="1211" spans="1:14" ht="12.75">
      <c r="A1211">
        <v>1204</v>
      </c>
      <c r="B1211" s="557">
        <v>2673</v>
      </c>
      <c r="C1211" t="s">
        <v>5566</v>
      </c>
      <c r="D1211" s="107" t="s">
        <v>2439</v>
      </c>
      <c r="E1211">
        <v>342</v>
      </c>
      <c r="F1211" s="556">
        <v>5</v>
      </c>
      <c r="G1211" s="541">
        <v>15</v>
      </c>
      <c r="H1211" s="560">
        <v>0</v>
      </c>
      <c r="I1211" s="107">
        <v>1</v>
      </c>
      <c r="K1211" s="370">
        <v>6588</v>
      </c>
      <c r="L1211" s="371" t="s">
        <v>3363</v>
      </c>
      <c r="M1211" s="372" t="s">
        <v>2821</v>
      </c>
      <c r="N1211" s="373"/>
    </row>
    <row r="1212" spans="1:14" ht="12.75">
      <c r="A1212">
        <v>1205</v>
      </c>
      <c r="B1212" s="557" t="s">
        <v>4333</v>
      </c>
      <c r="C1212" t="s">
        <v>5567</v>
      </c>
      <c r="D1212" s="107" t="s">
        <v>2522</v>
      </c>
      <c r="E1212">
        <v>51</v>
      </c>
      <c r="F1212" s="556">
        <v>5</v>
      </c>
      <c r="G1212" s="541">
        <v>99.71</v>
      </c>
      <c r="H1212" s="560">
        <v>0</v>
      </c>
      <c r="I1212" s="107">
        <v>3</v>
      </c>
      <c r="K1212" s="370">
        <v>6589</v>
      </c>
      <c r="L1212" s="371" t="s">
        <v>3364</v>
      </c>
      <c r="M1212" s="372" t="s">
        <v>2821</v>
      </c>
      <c r="N1212" s="373"/>
    </row>
    <row r="1213" spans="1:14" ht="12.75">
      <c r="A1213">
        <v>1206</v>
      </c>
      <c r="B1213" s="557" t="s">
        <v>3475</v>
      </c>
      <c r="C1213" t="s">
        <v>5568</v>
      </c>
      <c r="D1213" s="107" t="s">
        <v>2522</v>
      </c>
      <c r="E1213">
        <v>21</v>
      </c>
      <c r="F1213" s="556">
        <v>5</v>
      </c>
      <c r="G1213" s="541">
        <v>239.05</v>
      </c>
      <c r="H1213" s="560">
        <v>0</v>
      </c>
      <c r="I1213" s="107">
        <v>6</v>
      </c>
      <c r="K1213" s="370">
        <v>6590</v>
      </c>
      <c r="L1213" s="371" t="s">
        <v>3365</v>
      </c>
      <c r="M1213" s="372" t="s">
        <v>2821</v>
      </c>
      <c r="N1213" s="373"/>
    </row>
    <row r="1214" spans="1:14" ht="12.75">
      <c r="A1214">
        <v>1207</v>
      </c>
      <c r="B1214" s="557">
        <v>1545</v>
      </c>
      <c r="C1214" t="s">
        <v>5569</v>
      </c>
      <c r="D1214" s="107" t="s">
        <v>2522</v>
      </c>
      <c r="E1214">
        <v>1</v>
      </c>
      <c r="F1214" s="556">
        <v>5</v>
      </c>
      <c r="G1214" s="541">
        <v>5000</v>
      </c>
      <c r="H1214" s="560">
        <v>0</v>
      </c>
      <c r="I1214" s="107">
        <v>1</v>
      </c>
      <c r="K1214" s="370">
        <v>6591</v>
      </c>
      <c r="L1214" s="371" t="s">
        <v>3366</v>
      </c>
      <c r="M1214" s="372" t="s">
        <v>2821</v>
      </c>
      <c r="N1214" s="373"/>
    </row>
    <row r="1215" spans="1:14" ht="12.75">
      <c r="A1215">
        <v>1208</v>
      </c>
      <c r="B1215" s="557">
        <v>3288</v>
      </c>
      <c r="C1215" t="s">
        <v>5570</v>
      </c>
      <c r="D1215" s="107" t="s">
        <v>2522</v>
      </c>
      <c r="E1215">
        <v>1</v>
      </c>
      <c r="F1215" s="556">
        <v>5</v>
      </c>
      <c r="G1215" s="541">
        <v>5000</v>
      </c>
      <c r="H1215" s="560">
        <v>0</v>
      </c>
      <c r="I1215" s="107">
        <v>1</v>
      </c>
      <c r="K1215" s="370">
        <v>6592</v>
      </c>
      <c r="L1215" s="371" t="s">
        <v>3367</v>
      </c>
      <c r="M1215" s="372" t="s">
        <v>2821</v>
      </c>
      <c r="N1215" s="373"/>
    </row>
    <row r="1216" spans="1:14" ht="12.75">
      <c r="A1216">
        <v>1209</v>
      </c>
      <c r="B1216" s="557">
        <v>3301</v>
      </c>
      <c r="C1216" t="s">
        <v>5571</v>
      </c>
      <c r="D1216" s="107" t="s">
        <v>2439</v>
      </c>
      <c r="E1216">
        <v>10</v>
      </c>
      <c r="F1216" s="556">
        <v>5</v>
      </c>
      <c r="G1216" s="541">
        <v>500</v>
      </c>
      <c r="H1216" s="560">
        <v>0</v>
      </c>
      <c r="I1216" s="107">
        <v>1</v>
      </c>
      <c r="K1216" s="370">
        <v>6593</v>
      </c>
      <c r="L1216" s="371" t="s">
        <v>3368</v>
      </c>
      <c r="M1216" s="372" t="s">
        <v>2821</v>
      </c>
      <c r="N1216" s="373"/>
    </row>
    <row r="1217" spans="1:14" ht="12.75">
      <c r="A1217">
        <v>1210</v>
      </c>
      <c r="B1217" s="557">
        <v>15121</v>
      </c>
      <c r="C1217" t="s">
        <v>5572</v>
      </c>
      <c r="D1217" s="107" t="s">
        <v>2522</v>
      </c>
      <c r="E1217">
        <v>1</v>
      </c>
      <c r="F1217" s="556">
        <v>5</v>
      </c>
      <c r="G1217" s="541">
        <v>5000</v>
      </c>
      <c r="H1217" s="560">
        <v>0</v>
      </c>
      <c r="I1217" s="107">
        <v>1</v>
      </c>
      <c r="K1217" s="370">
        <v>6594</v>
      </c>
      <c r="L1217" s="371" t="s">
        <v>3369</v>
      </c>
      <c r="M1217" s="372" t="s">
        <v>2821</v>
      </c>
      <c r="N1217" s="373"/>
    </row>
    <row r="1218" spans="1:14" ht="12.75">
      <c r="A1218">
        <v>1211</v>
      </c>
      <c r="B1218" s="557" t="s">
        <v>4325</v>
      </c>
      <c r="C1218" t="s">
        <v>5573</v>
      </c>
      <c r="D1218" s="107" t="s">
        <v>2522</v>
      </c>
      <c r="E1218">
        <v>2</v>
      </c>
      <c r="F1218" s="556">
        <v>5</v>
      </c>
      <c r="G1218" s="541">
        <v>2500</v>
      </c>
      <c r="H1218" s="560">
        <v>0</v>
      </c>
      <c r="I1218" s="107">
        <v>1</v>
      </c>
      <c r="K1218" s="370">
        <v>6595</v>
      </c>
      <c r="L1218" s="371" t="s">
        <v>3370</v>
      </c>
      <c r="M1218" s="372" t="s">
        <v>2821</v>
      </c>
      <c r="N1218" s="373"/>
    </row>
    <row r="1219" spans="1:14" ht="12.75">
      <c r="A1219">
        <v>1212</v>
      </c>
      <c r="B1219" s="557" t="s">
        <v>4147</v>
      </c>
      <c r="C1219" t="s">
        <v>5574</v>
      </c>
      <c r="D1219" s="107" t="s">
        <v>2522</v>
      </c>
      <c r="E1219">
        <v>10</v>
      </c>
      <c r="F1219" s="556">
        <v>5</v>
      </c>
      <c r="G1219" s="541">
        <v>500</v>
      </c>
      <c r="H1219" s="560">
        <v>0</v>
      </c>
      <c r="I1219" s="107">
        <v>1</v>
      </c>
      <c r="K1219" s="370">
        <v>6596</v>
      </c>
      <c r="L1219" s="371" t="s">
        <v>3371</v>
      </c>
      <c r="M1219" s="372" t="s">
        <v>2821</v>
      </c>
      <c r="N1219" s="373"/>
    </row>
    <row r="1220" spans="1:14" ht="12.75">
      <c r="A1220">
        <v>1213</v>
      </c>
      <c r="B1220" s="557">
        <v>4941</v>
      </c>
      <c r="C1220" t="s">
        <v>5575</v>
      </c>
      <c r="D1220" s="107" t="s">
        <v>2522</v>
      </c>
      <c r="E1220">
        <v>3</v>
      </c>
      <c r="F1220" s="556">
        <v>5</v>
      </c>
      <c r="G1220" s="541">
        <v>1650</v>
      </c>
      <c r="H1220" s="560">
        <v>0</v>
      </c>
      <c r="I1220" s="107">
        <v>1</v>
      </c>
      <c r="K1220" s="370">
        <v>6597</v>
      </c>
      <c r="L1220" s="371" t="s">
        <v>3372</v>
      </c>
      <c r="M1220" s="372" t="s">
        <v>2821</v>
      </c>
      <c r="N1220" s="373"/>
    </row>
    <row r="1221" spans="1:16" ht="12.75">
      <c r="A1221">
        <v>1214</v>
      </c>
      <c r="B1221" s="557" t="s">
        <v>4016</v>
      </c>
      <c r="C1221" t="s">
        <v>5576</v>
      </c>
      <c r="D1221" s="107" t="s">
        <v>2439</v>
      </c>
      <c r="E1221">
        <v>220</v>
      </c>
      <c r="F1221" s="556">
        <v>5</v>
      </c>
      <c r="G1221" s="541">
        <v>22.5</v>
      </c>
      <c r="H1221" s="560">
        <v>0</v>
      </c>
      <c r="I1221" s="107">
        <v>1</v>
      </c>
      <c r="K1221" s="370">
        <v>6598</v>
      </c>
      <c r="L1221" s="371" t="s">
        <v>3373</v>
      </c>
      <c r="M1221" s="372" t="s">
        <v>974</v>
      </c>
      <c r="N1221" s="373" t="s">
        <v>3374</v>
      </c>
      <c r="O1221" s="374" t="s">
        <v>3373</v>
      </c>
      <c r="P1221" s="374" t="s">
        <v>3175</v>
      </c>
    </row>
    <row r="1222" spans="1:14" ht="12.75">
      <c r="A1222">
        <v>1215</v>
      </c>
      <c r="B1222" s="557" t="s">
        <v>5577</v>
      </c>
      <c r="C1222" t="s">
        <v>5578</v>
      </c>
      <c r="D1222" s="107" t="s">
        <v>2522</v>
      </c>
      <c r="E1222">
        <v>1</v>
      </c>
      <c r="F1222" s="556">
        <v>5</v>
      </c>
      <c r="G1222" s="541">
        <v>4910</v>
      </c>
      <c r="H1222" s="560">
        <v>0</v>
      </c>
      <c r="I1222" s="107">
        <v>1</v>
      </c>
      <c r="K1222" s="370">
        <v>6600</v>
      </c>
      <c r="L1222" s="371" t="s">
        <v>3375</v>
      </c>
      <c r="M1222" s="372" t="s">
        <v>2821</v>
      </c>
      <c r="N1222" s="373"/>
    </row>
    <row r="1223" spans="1:14" ht="12.75">
      <c r="A1223">
        <v>1216</v>
      </c>
      <c r="B1223" s="557">
        <v>451</v>
      </c>
      <c r="C1223" t="s">
        <v>5579</v>
      </c>
      <c r="D1223" s="107" t="s">
        <v>2439</v>
      </c>
      <c r="E1223">
        <v>54</v>
      </c>
      <c r="F1223" s="556">
        <v>5</v>
      </c>
      <c r="G1223" s="541">
        <v>90</v>
      </c>
      <c r="H1223" s="560">
        <v>0</v>
      </c>
      <c r="I1223" s="107">
        <v>1</v>
      </c>
      <c r="K1223" s="370">
        <v>6601</v>
      </c>
      <c r="L1223" s="371" t="s">
        <v>3376</v>
      </c>
      <c r="M1223" s="372" t="s">
        <v>2821</v>
      </c>
      <c r="N1223" s="373"/>
    </row>
    <row r="1224" spans="1:14" ht="12.75">
      <c r="A1224">
        <v>1217</v>
      </c>
      <c r="B1224" s="557">
        <v>15095</v>
      </c>
      <c r="C1224" t="s">
        <v>5580</v>
      </c>
      <c r="D1224" s="107" t="s">
        <v>2522</v>
      </c>
      <c r="E1224">
        <v>6</v>
      </c>
      <c r="F1224" s="556">
        <v>5</v>
      </c>
      <c r="G1224" s="541">
        <v>808.5</v>
      </c>
      <c r="H1224" s="560">
        <v>0</v>
      </c>
      <c r="I1224" s="107">
        <v>1</v>
      </c>
      <c r="K1224" s="370">
        <v>6602</v>
      </c>
      <c r="L1224" s="371" t="s">
        <v>3377</v>
      </c>
      <c r="M1224" s="372" t="s">
        <v>2821</v>
      </c>
      <c r="N1224" s="373"/>
    </row>
    <row r="1225" spans="1:14" ht="12.75">
      <c r="A1225">
        <v>1218</v>
      </c>
      <c r="B1225" s="557">
        <v>14118</v>
      </c>
      <c r="C1225" t="s">
        <v>5581</v>
      </c>
      <c r="D1225" s="107" t="s">
        <v>2522</v>
      </c>
      <c r="E1225">
        <v>1</v>
      </c>
      <c r="F1225" s="556">
        <v>5</v>
      </c>
      <c r="G1225" s="541">
        <v>4800</v>
      </c>
      <c r="H1225" s="560">
        <v>0</v>
      </c>
      <c r="I1225" s="107">
        <v>1</v>
      </c>
      <c r="K1225" s="370">
        <v>6756</v>
      </c>
      <c r="L1225" s="371" t="s">
        <v>3378</v>
      </c>
      <c r="M1225" s="372" t="s">
        <v>2821</v>
      </c>
      <c r="N1225" s="373"/>
    </row>
    <row r="1226" spans="1:14" ht="12.75">
      <c r="A1226">
        <v>1219</v>
      </c>
      <c r="B1226" s="557" t="s">
        <v>3215</v>
      </c>
      <c r="C1226" t="s">
        <v>5582</v>
      </c>
      <c r="D1226" s="107" t="s">
        <v>2522</v>
      </c>
      <c r="E1226">
        <v>3</v>
      </c>
      <c r="F1226" s="556">
        <v>5</v>
      </c>
      <c r="G1226" s="541">
        <v>1600</v>
      </c>
      <c r="H1226" s="560">
        <v>0</v>
      </c>
      <c r="I1226" s="107">
        <v>1</v>
      </c>
      <c r="K1226" s="370">
        <v>6901</v>
      </c>
      <c r="L1226" s="371" t="s">
        <v>3379</v>
      </c>
      <c r="M1226" s="372" t="s">
        <v>2821</v>
      </c>
      <c r="N1226" s="375"/>
    </row>
    <row r="1227" spans="1:16" s="381" customFormat="1" ht="12.75">
      <c r="A1227">
        <v>1220</v>
      </c>
      <c r="B1227" s="557">
        <v>6593</v>
      </c>
      <c r="C1227" t="s">
        <v>5583</v>
      </c>
      <c r="D1227" s="107" t="s">
        <v>2522</v>
      </c>
      <c r="E1227">
        <v>23</v>
      </c>
      <c r="F1227" s="556">
        <v>5</v>
      </c>
      <c r="G1227" s="541">
        <v>205</v>
      </c>
      <c r="H1227" s="560">
        <v>0</v>
      </c>
      <c r="I1227" s="107">
        <v>1</v>
      </c>
      <c r="K1227" s="376">
        <v>7304</v>
      </c>
      <c r="L1227" s="377" t="s">
        <v>3380</v>
      </c>
      <c r="M1227" s="378"/>
      <c r="N1227" s="379" t="s">
        <v>3381</v>
      </c>
      <c r="O1227" s="380" t="s">
        <v>3380</v>
      </c>
      <c r="P1227" s="380" t="s">
        <v>3175</v>
      </c>
    </row>
    <row r="1228" spans="1:14" ht="12.75">
      <c r="A1228">
        <v>1221</v>
      </c>
      <c r="B1228" s="557">
        <v>2099</v>
      </c>
      <c r="C1228" t="s">
        <v>5584</v>
      </c>
      <c r="D1228" s="107" t="s">
        <v>1772</v>
      </c>
      <c r="E1228">
        <v>14</v>
      </c>
      <c r="F1228" s="556">
        <v>5</v>
      </c>
      <c r="G1228" s="541">
        <v>333</v>
      </c>
      <c r="H1228" s="560">
        <v>0</v>
      </c>
      <c r="I1228" s="107">
        <v>1</v>
      </c>
      <c r="K1228" s="370">
        <v>7306</v>
      </c>
      <c r="L1228" s="371" t="s">
        <v>3382</v>
      </c>
      <c r="M1228" s="372" t="s">
        <v>751</v>
      </c>
      <c r="N1228" s="373"/>
    </row>
    <row r="1229" spans="1:14" ht="12.75">
      <c r="A1229">
        <v>1222</v>
      </c>
      <c r="B1229" s="557" t="s">
        <v>4024</v>
      </c>
      <c r="C1229" t="s">
        <v>5585</v>
      </c>
      <c r="D1229" s="107" t="s">
        <v>2522</v>
      </c>
      <c r="E1229">
        <v>21</v>
      </c>
      <c r="F1229" s="556">
        <v>5</v>
      </c>
      <c r="G1229" s="541">
        <v>221.43</v>
      </c>
      <c r="H1229" s="560">
        <v>0</v>
      </c>
      <c r="I1229" s="107">
        <v>3</v>
      </c>
      <c r="K1229" s="370">
        <v>7318</v>
      </c>
      <c r="L1229" s="371" t="s">
        <v>3383</v>
      </c>
      <c r="M1229" s="372" t="s">
        <v>3173</v>
      </c>
      <c r="N1229" s="373"/>
    </row>
    <row r="1230" spans="1:14" ht="12.75">
      <c r="A1230">
        <v>1223</v>
      </c>
      <c r="B1230" s="557" t="s">
        <v>4033</v>
      </c>
      <c r="C1230" t="s">
        <v>4034</v>
      </c>
      <c r="D1230" s="107" t="s">
        <v>2439</v>
      </c>
      <c r="E1230">
        <v>185</v>
      </c>
      <c r="F1230" s="556">
        <v>5</v>
      </c>
      <c r="G1230" s="541">
        <v>24.76</v>
      </c>
      <c r="H1230" s="560">
        <v>0</v>
      </c>
      <c r="I1230" s="107">
        <v>6</v>
      </c>
      <c r="K1230" s="370">
        <v>7371</v>
      </c>
      <c r="L1230" s="371" t="s">
        <v>3384</v>
      </c>
      <c r="M1230" s="372" t="s">
        <v>751</v>
      </c>
      <c r="N1230" s="373"/>
    </row>
    <row r="1231" spans="1:14" ht="12.75">
      <c r="A1231">
        <v>1224</v>
      </c>
      <c r="B1231" s="557">
        <v>1757</v>
      </c>
      <c r="C1231" t="s">
        <v>5586</v>
      </c>
      <c r="D1231" s="107" t="s">
        <v>2522</v>
      </c>
      <c r="E1231">
        <v>1</v>
      </c>
      <c r="F1231" s="556">
        <v>5</v>
      </c>
      <c r="G1231" s="541">
        <v>4500</v>
      </c>
      <c r="H1231" s="560">
        <v>0</v>
      </c>
      <c r="I1231" s="107">
        <v>1</v>
      </c>
      <c r="K1231" s="370">
        <v>7372</v>
      </c>
      <c r="L1231" s="371" t="s">
        <v>3385</v>
      </c>
      <c r="M1231" s="372" t="s">
        <v>751</v>
      </c>
      <c r="N1231" s="373"/>
    </row>
    <row r="1232" spans="1:14" ht="12.75">
      <c r="A1232">
        <v>1225</v>
      </c>
      <c r="B1232" s="557" t="s">
        <v>4315</v>
      </c>
      <c r="C1232" t="s">
        <v>5587</v>
      </c>
      <c r="D1232" s="107" t="s">
        <v>2439</v>
      </c>
      <c r="E1232">
        <v>200</v>
      </c>
      <c r="F1232" s="556">
        <v>5</v>
      </c>
      <c r="G1232" s="541">
        <v>22.5</v>
      </c>
      <c r="H1232" s="560">
        <v>0</v>
      </c>
      <c r="I1232" s="107">
        <v>1</v>
      </c>
      <c r="K1232" s="370">
        <v>7373</v>
      </c>
      <c r="L1232" s="371" t="s">
        <v>3386</v>
      </c>
      <c r="M1232" s="372" t="s">
        <v>3173</v>
      </c>
      <c r="N1232" s="373"/>
    </row>
    <row r="1233" spans="1:14" ht="12.75">
      <c r="A1233">
        <v>1226</v>
      </c>
      <c r="B1233" s="557" t="s">
        <v>4151</v>
      </c>
      <c r="C1233" t="s">
        <v>5588</v>
      </c>
      <c r="D1233" s="107" t="s">
        <v>2522</v>
      </c>
      <c r="E1233">
        <v>1</v>
      </c>
      <c r="F1233" s="556">
        <v>5</v>
      </c>
      <c r="G1233" s="541">
        <v>4500</v>
      </c>
      <c r="H1233" s="560">
        <v>0</v>
      </c>
      <c r="I1233" s="107">
        <v>1</v>
      </c>
      <c r="K1233" s="370">
        <v>7374</v>
      </c>
      <c r="L1233" s="371" t="s">
        <v>3387</v>
      </c>
      <c r="M1233" s="372" t="s">
        <v>974</v>
      </c>
      <c r="N1233" s="373"/>
    </row>
    <row r="1234" spans="1:14" ht="12.75">
      <c r="A1234">
        <v>1227</v>
      </c>
      <c r="B1234" s="557">
        <v>8101</v>
      </c>
      <c r="C1234" t="s">
        <v>5589</v>
      </c>
      <c r="D1234" s="107" t="s">
        <v>1773</v>
      </c>
      <c r="E1234">
        <v>3</v>
      </c>
      <c r="F1234" s="556">
        <v>4</v>
      </c>
      <c r="G1234" s="541">
        <v>1400</v>
      </c>
      <c r="H1234" s="560">
        <v>0</v>
      </c>
      <c r="I1234" s="107">
        <v>1</v>
      </c>
      <c r="K1234" s="370">
        <v>7375</v>
      </c>
      <c r="L1234" s="371" t="s">
        <v>3388</v>
      </c>
      <c r="M1234" s="372" t="s">
        <v>751</v>
      </c>
      <c r="N1234" s="373"/>
    </row>
    <row r="1235" spans="1:14" ht="12.75">
      <c r="A1235">
        <v>1228</v>
      </c>
      <c r="B1235" s="557">
        <v>2287</v>
      </c>
      <c r="C1235" t="s">
        <v>5590</v>
      </c>
      <c r="D1235" s="107" t="s">
        <v>2522</v>
      </c>
      <c r="E1235">
        <v>1</v>
      </c>
      <c r="F1235" s="556">
        <v>4</v>
      </c>
      <c r="G1235" s="541">
        <v>4400</v>
      </c>
      <c r="H1235" s="560">
        <v>0</v>
      </c>
      <c r="I1235" s="107">
        <v>1</v>
      </c>
      <c r="K1235" s="370">
        <v>7376</v>
      </c>
      <c r="L1235" s="371" t="s">
        <v>3388</v>
      </c>
      <c r="M1235" s="372" t="s">
        <v>751</v>
      </c>
      <c r="N1235" s="373"/>
    </row>
    <row r="1236" spans="1:14" ht="12.75">
      <c r="A1236">
        <v>1229</v>
      </c>
      <c r="B1236" s="557">
        <v>16555</v>
      </c>
      <c r="C1236" t="s">
        <v>4331</v>
      </c>
      <c r="D1236" s="107" t="s">
        <v>2522</v>
      </c>
      <c r="E1236">
        <v>4</v>
      </c>
      <c r="F1236" s="556">
        <v>4</v>
      </c>
      <c r="G1236" s="541">
        <v>1092.5</v>
      </c>
      <c r="H1236" s="560">
        <v>0</v>
      </c>
      <c r="I1236" s="107">
        <v>1</v>
      </c>
      <c r="K1236" s="370">
        <v>7389</v>
      </c>
      <c r="L1236" s="371" t="s">
        <v>3389</v>
      </c>
      <c r="M1236" s="372" t="s">
        <v>3195</v>
      </c>
      <c r="N1236" s="373"/>
    </row>
    <row r="1237" spans="1:14" ht="12.75">
      <c r="A1237">
        <v>1230</v>
      </c>
      <c r="B1237" s="557">
        <v>16540</v>
      </c>
      <c r="C1237" t="s">
        <v>5591</v>
      </c>
      <c r="D1237" s="107" t="s">
        <v>2522</v>
      </c>
      <c r="E1237">
        <v>1</v>
      </c>
      <c r="F1237" s="556">
        <v>4</v>
      </c>
      <c r="G1237" s="541">
        <v>4357.95</v>
      </c>
      <c r="H1237" s="560">
        <v>0</v>
      </c>
      <c r="I1237" s="107">
        <v>1</v>
      </c>
      <c r="K1237" s="370">
        <v>7390</v>
      </c>
      <c r="L1237" s="371" t="s">
        <v>3390</v>
      </c>
      <c r="M1237" s="372" t="s">
        <v>2821</v>
      </c>
      <c r="N1237" s="373"/>
    </row>
    <row r="1238" spans="1:16" ht="12.75">
      <c r="A1238">
        <v>1231</v>
      </c>
      <c r="B1238" s="557" t="s">
        <v>5592</v>
      </c>
      <c r="C1238" t="s">
        <v>5593</v>
      </c>
      <c r="D1238" s="107" t="s">
        <v>2522</v>
      </c>
      <c r="E1238">
        <v>13</v>
      </c>
      <c r="F1238" s="556">
        <v>4</v>
      </c>
      <c r="G1238" s="541">
        <v>325</v>
      </c>
      <c r="H1238" s="560">
        <v>0</v>
      </c>
      <c r="I1238" s="107">
        <v>1</v>
      </c>
      <c r="K1238" s="370">
        <v>7440</v>
      </c>
      <c r="L1238" s="371" t="s">
        <v>3391</v>
      </c>
      <c r="M1238" s="372" t="s">
        <v>751</v>
      </c>
      <c r="N1238" s="373" t="s">
        <v>3392</v>
      </c>
      <c r="O1238" s="374" t="s">
        <v>3391</v>
      </c>
      <c r="P1238" s="374" t="s">
        <v>754</v>
      </c>
    </row>
    <row r="1239" spans="1:14" ht="12.75">
      <c r="A1239">
        <v>1232</v>
      </c>
      <c r="B1239" s="557">
        <v>8106</v>
      </c>
      <c r="C1239" t="s">
        <v>5594</v>
      </c>
      <c r="D1239" s="107" t="s">
        <v>1773</v>
      </c>
      <c r="E1239">
        <v>1</v>
      </c>
      <c r="F1239" s="556">
        <v>4</v>
      </c>
      <c r="G1239" s="541">
        <v>4200</v>
      </c>
      <c r="H1239" s="560">
        <v>0</v>
      </c>
      <c r="I1239" s="107">
        <v>1</v>
      </c>
      <c r="K1239" s="370">
        <v>7442</v>
      </c>
      <c r="L1239" s="371" t="s">
        <v>3393</v>
      </c>
      <c r="M1239" s="372" t="s">
        <v>2819</v>
      </c>
      <c r="N1239" s="373"/>
    </row>
    <row r="1240" spans="1:14" ht="12.75">
      <c r="A1240">
        <v>1233</v>
      </c>
      <c r="B1240" s="557">
        <v>1789</v>
      </c>
      <c r="C1240" t="s">
        <v>5595</v>
      </c>
      <c r="D1240" s="107" t="s">
        <v>2522</v>
      </c>
      <c r="E1240">
        <v>2</v>
      </c>
      <c r="F1240" s="556">
        <v>4</v>
      </c>
      <c r="G1240" s="541">
        <v>2092.49</v>
      </c>
      <c r="H1240" s="560">
        <v>0</v>
      </c>
      <c r="I1240" s="107">
        <v>1</v>
      </c>
      <c r="K1240" s="370">
        <v>7534</v>
      </c>
      <c r="L1240" s="371" t="s">
        <v>3394</v>
      </c>
      <c r="M1240" s="372" t="s">
        <v>2821</v>
      </c>
      <c r="N1240" s="373"/>
    </row>
    <row r="1241" spans="1:14" ht="12.75">
      <c r="A1241">
        <v>1234</v>
      </c>
      <c r="B1241" s="557">
        <v>8540</v>
      </c>
      <c r="C1241" t="s">
        <v>5596</v>
      </c>
      <c r="D1241" s="107" t="s">
        <v>2439</v>
      </c>
      <c r="E1241">
        <v>2000</v>
      </c>
      <c r="F1241" s="556">
        <v>4</v>
      </c>
      <c r="G1241" s="541">
        <v>2.09</v>
      </c>
      <c r="H1241" s="560">
        <v>0</v>
      </c>
      <c r="I1241" s="107">
        <v>1</v>
      </c>
      <c r="K1241" s="370">
        <v>7535</v>
      </c>
      <c r="L1241" s="371" t="s">
        <v>3395</v>
      </c>
      <c r="M1241" s="372" t="s">
        <v>2821</v>
      </c>
      <c r="N1241" s="373"/>
    </row>
    <row r="1242" spans="1:14" ht="12.75">
      <c r="A1242">
        <v>1235</v>
      </c>
      <c r="B1242" s="557">
        <v>1647</v>
      </c>
      <c r="C1242" t="s">
        <v>5597</v>
      </c>
      <c r="D1242" s="107" t="s">
        <v>2522</v>
      </c>
      <c r="E1242">
        <v>1</v>
      </c>
      <c r="F1242" s="556">
        <v>4</v>
      </c>
      <c r="G1242" s="541">
        <v>4137.06</v>
      </c>
      <c r="H1242" s="560">
        <v>0</v>
      </c>
      <c r="I1242" s="107">
        <v>1</v>
      </c>
      <c r="K1242" s="370">
        <v>7536</v>
      </c>
      <c r="L1242" s="371" t="s">
        <v>3396</v>
      </c>
      <c r="M1242" s="372" t="s">
        <v>754</v>
      </c>
      <c r="N1242" s="373"/>
    </row>
    <row r="1243" spans="1:16" ht="12.75">
      <c r="A1243">
        <v>1236</v>
      </c>
      <c r="B1243" s="557">
        <v>16533</v>
      </c>
      <c r="C1243" t="s">
        <v>5598</v>
      </c>
      <c r="D1243" s="107" t="s">
        <v>2522</v>
      </c>
      <c r="E1243">
        <v>3</v>
      </c>
      <c r="F1243" s="556">
        <v>4</v>
      </c>
      <c r="G1243" s="541">
        <v>1364.76</v>
      </c>
      <c r="H1243" s="560">
        <v>0</v>
      </c>
      <c r="I1243" s="107">
        <v>1</v>
      </c>
      <c r="K1243" s="370">
        <v>7537</v>
      </c>
      <c r="L1243" s="371" t="s">
        <v>3397</v>
      </c>
      <c r="M1243" s="372" t="s">
        <v>754</v>
      </c>
      <c r="N1243" s="373" t="s">
        <v>3398</v>
      </c>
      <c r="O1243" s="374" t="s">
        <v>3397</v>
      </c>
      <c r="P1243" s="374" t="s">
        <v>754</v>
      </c>
    </row>
    <row r="1244" spans="1:14" ht="12.75">
      <c r="A1244">
        <v>1237</v>
      </c>
      <c r="B1244" s="557">
        <v>1420</v>
      </c>
      <c r="C1244" t="s">
        <v>5599</v>
      </c>
      <c r="D1244" s="107" t="s">
        <v>2522</v>
      </c>
      <c r="E1244">
        <v>2</v>
      </c>
      <c r="F1244" s="556">
        <v>4</v>
      </c>
      <c r="G1244" s="541">
        <v>2045.66</v>
      </c>
      <c r="H1244" s="560">
        <v>0</v>
      </c>
      <c r="I1244" s="107">
        <v>1</v>
      </c>
      <c r="K1244" s="370">
        <v>7538</v>
      </c>
      <c r="L1244" s="371" t="s">
        <v>3399</v>
      </c>
      <c r="M1244" s="372" t="s">
        <v>2821</v>
      </c>
      <c r="N1244" s="373"/>
    </row>
    <row r="1245" spans="1:14" ht="12.75">
      <c r="A1245">
        <v>1238</v>
      </c>
      <c r="B1245" s="557">
        <v>2016</v>
      </c>
      <c r="C1245" t="s">
        <v>5600</v>
      </c>
      <c r="D1245" s="107" t="s">
        <v>1772</v>
      </c>
      <c r="E1245">
        <v>70</v>
      </c>
      <c r="F1245" s="556">
        <v>4</v>
      </c>
      <c r="G1245" s="541">
        <v>58</v>
      </c>
      <c r="H1245" s="560">
        <v>0</v>
      </c>
      <c r="I1245" s="107">
        <v>1</v>
      </c>
      <c r="K1245" s="370">
        <v>7539</v>
      </c>
      <c r="L1245" s="371" t="s">
        <v>3400</v>
      </c>
      <c r="M1245" s="372" t="s">
        <v>2821</v>
      </c>
      <c r="N1245" s="373"/>
    </row>
    <row r="1246" spans="1:14" ht="12.75">
      <c r="A1246">
        <v>1239</v>
      </c>
      <c r="B1246" s="557">
        <v>16517</v>
      </c>
      <c r="C1246" t="s">
        <v>4255</v>
      </c>
      <c r="D1246" s="107" t="s">
        <v>2439</v>
      </c>
      <c r="E1246">
        <v>80</v>
      </c>
      <c r="F1246" s="556">
        <v>4</v>
      </c>
      <c r="G1246" s="541">
        <v>50.31</v>
      </c>
      <c r="H1246" s="560">
        <v>0</v>
      </c>
      <c r="I1246" s="107">
        <v>1</v>
      </c>
      <c r="K1246" s="370">
        <v>7541</v>
      </c>
      <c r="L1246" s="371" t="s">
        <v>3401</v>
      </c>
      <c r="M1246" s="372" t="s">
        <v>2819</v>
      </c>
      <c r="N1246" s="373"/>
    </row>
    <row r="1247" spans="1:14" ht="12.75">
      <c r="A1247">
        <v>1240</v>
      </c>
      <c r="B1247" s="557" t="s">
        <v>4065</v>
      </c>
      <c r="C1247" t="s">
        <v>5601</v>
      </c>
      <c r="D1247" s="107" t="s">
        <v>1772</v>
      </c>
      <c r="E1247">
        <v>510</v>
      </c>
      <c r="F1247" s="556">
        <v>4</v>
      </c>
      <c r="G1247" s="541">
        <v>7.85</v>
      </c>
      <c r="H1247" s="560">
        <v>0</v>
      </c>
      <c r="I1247" s="107">
        <v>3</v>
      </c>
      <c r="K1247" s="370">
        <v>7542</v>
      </c>
      <c r="L1247" s="371" t="s">
        <v>3402</v>
      </c>
      <c r="M1247" s="372" t="s">
        <v>754</v>
      </c>
      <c r="N1247" s="373"/>
    </row>
    <row r="1248" spans="1:14" ht="12.75">
      <c r="A1248">
        <v>1241</v>
      </c>
      <c r="B1248" s="557">
        <v>2551</v>
      </c>
      <c r="C1248" t="s">
        <v>5602</v>
      </c>
      <c r="D1248" s="107" t="s">
        <v>1773</v>
      </c>
      <c r="E1248">
        <v>2</v>
      </c>
      <c r="F1248" s="556">
        <v>4</v>
      </c>
      <c r="G1248" s="541">
        <v>2000</v>
      </c>
      <c r="H1248" s="560">
        <v>0</v>
      </c>
      <c r="I1248" s="107">
        <v>1</v>
      </c>
      <c r="K1248" s="370">
        <v>7543</v>
      </c>
      <c r="L1248" s="371" t="s">
        <v>3403</v>
      </c>
      <c r="M1248" s="372" t="s">
        <v>2821</v>
      </c>
      <c r="N1248" s="373"/>
    </row>
    <row r="1249" spans="1:14" ht="12.75">
      <c r="A1249">
        <v>1242</v>
      </c>
      <c r="B1249" s="557" t="s">
        <v>4303</v>
      </c>
      <c r="C1249" t="s">
        <v>5603</v>
      </c>
      <c r="D1249" s="107" t="s">
        <v>2522</v>
      </c>
      <c r="E1249">
        <v>4</v>
      </c>
      <c r="F1249" s="556">
        <v>4</v>
      </c>
      <c r="G1249" s="541">
        <v>1000</v>
      </c>
      <c r="H1249" s="560">
        <v>0</v>
      </c>
      <c r="I1249" s="107">
        <v>3</v>
      </c>
      <c r="K1249" s="370">
        <v>7544</v>
      </c>
      <c r="L1249" s="371" t="s">
        <v>3404</v>
      </c>
      <c r="M1249" s="372" t="s">
        <v>2819</v>
      </c>
      <c r="N1249" s="373"/>
    </row>
    <row r="1250" spans="1:14" ht="12.75">
      <c r="A1250">
        <v>1243</v>
      </c>
      <c r="B1250" s="557" t="s">
        <v>4087</v>
      </c>
      <c r="C1250" t="s">
        <v>4088</v>
      </c>
      <c r="D1250" s="107" t="s">
        <v>2439</v>
      </c>
      <c r="E1250">
        <v>7043</v>
      </c>
      <c r="F1250" s="556">
        <v>4</v>
      </c>
      <c r="G1250" s="541">
        <v>0.56</v>
      </c>
      <c r="H1250" s="560">
        <v>0</v>
      </c>
      <c r="I1250" s="107">
        <v>2</v>
      </c>
      <c r="K1250" s="370">
        <v>7545</v>
      </c>
      <c r="L1250" s="371" t="s">
        <v>3405</v>
      </c>
      <c r="M1250" s="372" t="s">
        <v>754</v>
      </c>
      <c r="N1250" s="373"/>
    </row>
    <row r="1251" spans="1:14" ht="12.75">
      <c r="A1251">
        <v>1244</v>
      </c>
      <c r="B1251" s="557">
        <v>1845</v>
      </c>
      <c r="C1251" t="s">
        <v>5604</v>
      </c>
      <c r="D1251" s="107" t="s">
        <v>2439</v>
      </c>
      <c r="E1251">
        <v>129</v>
      </c>
      <c r="F1251" s="556">
        <v>4</v>
      </c>
      <c r="G1251" s="541">
        <v>30</v>
      </c>
      <c r="H1251" s="560">
        <v>0</v>
      </c>
      <c r="I1251" s="107">
        <v>1</v>
      </c>
      <c r="K1251" s="370">
        <v>7546</v>
      </c>
      <c r="L1251" s="371" t="s">
        <v>3406</v>
      </c>
      <c r="M1251" s="372" t="s">
        <v>751</v>
      </c>
      <c r="N1251" s="373"/>
    </row>
    <row r="1252" spans="1:14" ht="12.75">
      <c r="A1252">
        <v>1245</v>
      </c>
      <c r="B1252" s="557" t="s">
        <v>4186</v>
      </c>
      <c r="C1252" t="s">
        <v>4187</v>
      </c>
      <c r="D1252" s="107" t="s">
        <v>2439</v>
      </c>
      <c r="E1252">
        <v>310</v>
      </c>
      <c r="F1252" s="556">
        <v>4</v>
      </c>
      <c r="G1252" s="541">
        <v>12.46</v>
      </c>
      <c r="H1252" s="560">
        <v>0</v>
      </c>
      <c r="I1252" s="107">
        <v>3</v>
      </c>
      <c r="K1252" s="370">
        <v>7547</v>
      </c>
      <c r="L1252" s="371" t="s">
        <v>3407</v>
      </c>
      <c r="M1252" s="372" t="s">
        <v>2821</v>
      </c>
      <c r="N1252" s="373"/>
    </row>
    <row r="1253" spans="1:14" ht="12.75">
      <c r="A1253">
        <v>1246</v>
      </c>
      <c r="B1253" s="557">
        <v>1380</v>
      </c>
      <c r="C1253" t="s">
        <v>5605</v>
      </c>
      <c r="D1253" s="107" t="s">
        <v>2522</v>
      </c>
      <c r="E1253">
        <v>1</v>
      </c>
      <c r="F1253" s="556">
        <v>4</v>
      </c>
      <c r="G1253" s="541">
        <v>3800</v>
      </c>
      <c r="H1253" s="560">
        <v>0</v>
      </c>
      <c r="I1253" s="107">
        <v>1</v>
      </c>
      <c r="K1253" s="370">
        <v>7550</v>
      </c>
      <c r="L1253" s="371" t="s">
        <v>3408</v>
      </c>
      <c r="M1253" s="372" t="s">
        <v>2821</v>
      </c>
      <c r="N1253" s="373"/>
    </row>
    <row r="1254" spans="1:14" ht="12.75">
      <c r="A1254">
        <v>1247</v>
      </c>
      <c r="B1254" s="557">
        <v>4899</v>
      </c>
      <c r="C1254" t="s">
        <v>5606</v>
      </c>
      <c r="D1254" s="107" t="s">
        <v>2522</v>
      </c>
      <c r="E1254">
        <v>1</v>
      </c>
      <c r="F1254" s="556">
        <v>4</v>
      </c>
      <c r="G1254" s="541">
        <v>3800</v>
      </c>
      <c r="H1254" s="560">
        <v>0</v>
      </c>
      <c r="I1254" s="107">
        <v>1</v>
      </c>
      <c r="K1254" s="370">
        <v>7551</v>
      </c>
      <c r="L1254" s="371" t="s">
        <v>3409</v>
      </c>
      <c r="M1254" s="372" t="s">
        <v>2821</v>
      </c>
      <c r="N1254" s="373"/>
    </row>
    <row r="1255" spans="1:14" ht="12.75">
      <c r="A1255">
        <v>1248</v>
      </c>
      <c r="B1255" s="557">
        <v>2350</v>
      </c>
      <c r="C1255" t="s">
        <v>5607</v>
      </c>
      <c r="D1255" s="107" t="s">
        <v>2439</v>
      </c>
      <c r="E1255">
        <v>150</v>
      </c>
      <c r="F1255" s="556">
        <v>4</v>
      </c>
      <c r="G1255" s="541">
        <v>25</v>
      </c>
      <c r="H1255" s="560">
        <v>0</v>
      </c>
      <c r="I1255" s="107">
        <v>1</v>
      </c>
      <c r="K1255" s="370">
        <v>7552</v>
      </c>
      <c r="L1255" s="371" t="s">
        <v>3410</v>
      </c>
      <c r="M1255" s="372" t="s">
        <v>3164</v>
      </c>
      <c r="N1255" s="373"/>
    </row>
    <row r="1256" spans="1:14" ht="12.75">
      <c r="A1256">
        <v>1249</v>
      </c>
      <c r="B1256" s="557">
        <v>8192</v>
      </c>
      <c r="C1256" t="s">
        <v>5608</v>
      </c>
      <c r="D1256" s="107" t="s">
        <v>1772</v>
      </c>
      <c r="E1256">
        <v>250</v>
      </c>
      <c r="F1256" s="556">
        <v>4</v>
      </c>
      <c r="G1256" s="541">
        <v>15</v>
      </c>
      <c r="H1256" s="560">
        <v>0</v>
      </c>
      <c r="I1256" s="107">
        <v>1</v>
      </c>
      <c r="K1256" s="370">
        <v>7635</v>
      </c>
      <c r="L1256" s="371" t="s">
        <v>3411</v>
      </c>
      <c r="M1256" s="372" t="s">
        <v>1422</v>
      </c>
      <c r="N1256" s="373"/>
    </row>
    <row r="1257" spans="1:14" ht="12.75">
      <c r="A1257">
        <v>1250</v>
      </c>
      <c r="B1257" s="557" t="s">
        <v>4048</v>
      </c>
      <c r="C1257" t="s">
        <v>5609</v>
      </c>
      <c r="D1257" s="107" t="s">
        <v>2522</v>
      </c>
      <c r="E1257">
        <v>18</v>
      </c>
      <c r="F1257" s="556">
        <v>4</v>
      </c>
      <c r="G1257" s="541">
        <v>205.42</v>
      </c>
      <c r="H1257" s="560">
        <v>0</v>
      </c>
      <c r="I1257" s="107">
        <v>6</v>
      </c>
      <c r="K1257" s="370">
        <v>7636</v>
      </c>
      <c r="L1257" s="371" t="s">
        <v>3412</v>
      </c>
      <c r="M1257" s="372" t="s">
        <v>2821</v>
      </c>
      <c r="N1257" s="373"/>
    </row>
    <row r="1258" spans="1:14" ht="12.75">
      <c r="A1258">
        <v>1251</v>
      </c>
      <c r="B1258" s="557">
        <v>16536</v>
      </c>
      <c r="C1258" t="s">
        <v>4214</v>
      </c>
      <c r="D1258" s="107" t="s">
        <v>2522</v>
      </c>
      <c r="E1258">
        <v>12</v>
      </c>
      <c r="F1258" s="556">
        <v>4</v>
      </c>
      <c r="G1258" s="541">
        <v>304.31</v>
      </c>
      <c r="H1258" s="560">
        <v>0</v>
      </c>
      <c r="I1258" s="107">
        <v>1</v>
      </c>
      <c r="K1258" s="370">
        <v>7640</v>
      </c>
      <c r="L1258" s="371" t="s">
        <v>3413</v>
      </c>
      <c r="M1258" s="372" t="s">
        <v>2819</v>
      </c>
      <c r="N1258" s="373"/>
    </row>
    <row r="1259" spans="1:14" ht="12.75">
      <c r="A1259">
        <v>1252</v>
      </c>
      <c r="B1259" s="557">
        <v>4904</v>
      </c>
      <c r="C1259" t="s">
        <v>5610</v>
      </c>
      <c r="D1259" s="107" t="s">
        <v>2522</v>
      </c>
      <c r="E1259">
        <v>11</v>
      </c>
      <c r="F1259" s="556">
        <v>4</v>
      </c>
      <c r="G1259" s="541">
        <v>330.73</v>
      </c>
      <c r="H1259" s="560">
        <v>0</v>
      </c>
      <c r="I1259" s="107">
        <v>1</v>
      </c>
      <c r="K1259" s="370">
        <v>7641</v>
      </c>
      <c r="L1259" s="371" t="s">
        <v>3414</v>
      </c>
      <c r="M1259" s="372" t="s">
        <v>2819</v>
      </c>
      <c r="N1259" s="373"/>
    </row>
    <row r="1260" spans="1:14" ht="12.75">
      <c r="A1260">
        <v>1253</v>
      </c>
      <c r="B1260" s="557">
        <v>14113</v>
      </c>
      <c r="C1260" t="s">
        <v>5611</v>
      </c>
      <c r="D1260" s="107" t="s">
        <v>2522</v>
      </c>
      <c r="E1260">
        <v>6</v>
      </c>
      <c r="F1260" s="556">
        <v>4</v>
      </c>
      <c r="G1260" s="541">
        <v>600</v>
      </c>
      <c r="H1260" s="560">
        <v>0</v>
      </c>
      <c r="I1260" s="107">
        <v>1</v>
      </c>
      <c r="K1260" s="370">
        <v>7646</v>
      </c>
      <c r="L1260" s="371" t="s">
        <v>420</v>
      </c>
      <c r="M1260" s="372" t="s">
        <v>3164</v>
      </c>
      <c r="N1260" s="373"/>
    </row>
    <row r="1261" spans="1:14" ht="12.75">
      <c r="A1261">
        <v>1254</v>
      </c>
      <c r="B1261" s="557">
        <v>15029</v>
      </c>
      <c r="C1261" t="s">
        <v>4295</v>
      </c>
      <c r="D1261" s="107" t="s">
        <v>2522</v>
      </c>
      <c r="E1261">
        <v>1</v>
      </c>
      <c r="F1261" s="556">
        <v>4</v>
      </c>
      <c r="G1261" s="541">
        <v>3600</v>
      </c>
      <c r="H1261" s="560">
        <v>0</v>
      </c>
      <c r="I1261" s="107">
        <v>1</v>
      </c>
      <c r="K1261" s="370">
        <v>7647</v>
      </c>
      <c r="L1261" s="371" t="s">
        <v>421</v>
      </c>
      <c r="M1261" s="372" t="s">
        <v>3164</v>
      </c>
      <c r="N1261" s="373"/>
    </row>
    <row r="1262" spans="1:14" ht="12.75">
      <c r="A1262">
        <v>1255</v>
      </c>
      <c r="B1262" s="557" t="s">
        <v>4332</v>
      </c>
      <c r="C1262" t="s">
        <v>5612</v>
      </c>
      <c r="D1262" s="107" t="s">
        <v>2522</v>
      </c>
      <c r="E1262">
        <v>48</v>
      </c>
      <c r="F1262" s="556">
        <v>4</v>
      </c>
      <c r="G1262" s="541">
        <v>75</v>
      </c>
      <c r="H1262" s="560">
        <v>0</v>
      </c>
      <c r="I1262" s="107">
        <v>1</v>
      </c>
      <c r="K1262" s="370">
        <v>7648</v>
      </c>
      <c r="L1262" s="371" t="s">
        <v>422</v>
      </c>
      <c r="M1262" s="372" t="s">
        <v>2821</v>
      </c>
      <c r="N1262" s="373"/>
    </row>
    <row r="1263" spans="1:14" ht="12.75">
      <c r="A1263">
        <v>1256</v>
      </c>
      <c r="B1263" s="557">
        <v>40159</v>
      </c>
      <c r="C1263" t="s">
        <v>5613</v>
      </c>
      <c r="D1263" s="107" t="s">
        <v>2439</v>
      </c>
      <c r="E1263">
        <v>180</v>
      </c>
      <c r="F1263" s="556">
        <v>4</v>
      </c>
      <c r="G1263" s="541">
        <v>20</v>
      </c>
      <c r="H1263" s="560">
        <v>0</v>
      </c>
      <c r="I1263" s="107">
        <v>1</v>
      </c>
      <c r="K1263" s="370">
        <v>7649</v>
      </c>
      <c r="L1263" s="371" t="s">
        <v>423</v>
      </c>
      <c r="M1263" s="372" t="s">
        <v>3164</v>
      </c>
      <c r="N1263" s="373"/>
    </row>
    <row r="1264" spans="1:14" ht="12.75">
      <c r="A1264">
        <v>1257</v>
      </c>
      <c r="B1264" s="557">
        <v>6554</v>
      </c>
      <c r="C1264" t="s">
        <v>5614</v>
      </c>
      <c r="D1264" s="107" t="s">
        <v>2439</v>
      </c>
      <c r="E1264">
        <v>579</v>
      </c>
      <c r="F1264" s="556">
        <v>4</v>
      </c>
      <c r="G1264" s="541">
        <v>6.13</v>
      </c>
      <c r="H1264" s="560">
        <v>0</v>
      </c>
      <c r="I1264" s="107">
        <v>3</v>
      </c>
      <c r="K1264" s="370">
        <v>7650</v>
      </c>
      <c r="L1264" s="371" t="s">
        <v>424</v>
      </c>
      <c r="M1264" s="372" t="s">
        <v>3164</v>
      </c>
      <c r="N1264" s="373"/>
    </row>
    <row r="1265" spans="1:14" ht="12.75">
      <c r="A1265">
        <v>1258</v>
      </c>
      <c r="B1265" s="557" t="s">
        <v>4307</v>
      </c>
      <c r="C1265" t="s">
        <v>4308</v>
      </c>
      <c r="D1265" s="107" t="s">
        <v>2522</v>
      </c>
      <c r="E1265">
        <v>1</v>
      </c>
      <c r="F1265" s="556">
        <v>4</v>
      </c>
      <c r="G1265" s="541">
        <v>3537</v>
      </c>
      <c r="H1265" s="560">
        <v>0</v>
      </c>
      <c r="I1265" s="107">
        <v>1</v>
      </c>
      <c r="K1265" s="370">
        <v>7651</v>
      </c>
      <c r="L1265" s="371" t="s">
        <v>425</v>
      </c>
      <c r="M1265" s="372" t="s">
        <v>751</v>
      </c>
      <c r="N1265" s="375"/>
    </row>
    <row r="1266" spans="1:16" ht="12.75">
      <c r="A1266">
        <v>1259</v>
      </c>
      <c r="B1266" s="557" t="s">
        <v>5615</v>
      </c>
      <c r="C1266" t="s">
        <v>5616</v>
      </c>
      <c r="D1266" s="107" t="s">
        <v>2522</v>
      </c>
      <c r="E1266">
        <v>1</v>
      </c>
      <c r="F1266" s="556">
        <v>4</v>
      </c>
      <c r="G1266" s="541">
        <v>3500</v>
      </c>
      <c r="H1266" s="560">
        <v>0</v>
      </c>
      <c r="I1266" s="107">
        <v>1</v>
      </c>
      <c r="K1266" s="370">
        <v>8001</v>
      </c>
      <c r="L1266" s="371" t="s">
        <v>426</v>
      </c>
      <c r="M1266" s="372" t="s">
        <v>3195</v>
      </c>
      <c r="N1266" s="373" t="s">
        <v>427</v>
      </c>
      <c r="O1266" s="374" t="s">
        <v>426</v>
      </c>
      <c r="P1266" s="374" t="s">
        <v>3197</v>
      </c>
    </row>
    <row r="1267" spans="1:16" ht="12.75">
      <c r="A1267">
        <v>1260</v>
      </c>
      <c r="B1267" s="557">
        <v>40003</v>
      </c>
      <c r="C1267" t="s">
        <v>5617</v>
      </c>
      <c r="D1267" s="107" t="s">
        <v>2441</v>
      </c>
      <c r="E1267">
        <v>1</v>
      </c>
      <c r="F1267" s="556">
        <v>4</v>
      </c>
      <c r="G1267" s="541">
        <v>3500</v>
      </c>
      <c r="H1267" s="560">
        <v>0</v>
      </c>
      <c r="I1267" s="107">
        <v>1</v>
      </c>
      <c r="K1267" s="370">
        <v>8002</v>
      </c>
      <c r="L1267" s="371" t="s">
        <v>1941</v>
      </c>
      <c r="M1267" s="372" t="s">
        <v>3195</v>
      </c>
      <c r="N1267" s="373" t="s">
        <v>1942</v>
      </c>
      <c r="O1267" s="374" t="s">
        <v>1941</v>
      </c>
      <c r="P1267" s="374" t="s">
        <v>3197</v>
      </c>
    </row>
    <row r="1268" spans="1:14" ht="12.75">
      <c r="A1268">
        <v>1261</v>
      </c>
      <c r="B1268" s="557">
        <v>40186</v>
      </c>
      <c r="C1268" t="s">
        <v>5618</v>
      </c>
      <c r="D1268" s="107" t="s">
        <v>2522</v>
      </c>
      <c r="E1268">
        <v>1</v>
      </c>
      <c r="F1268" s="556">
        <v>4</v>
      </c>
      <c r="G1268" s="541">
        <v>3500</v>
      </c>
      <c r="H1268" s="560">
        <v>0</v>
      </c>
      <c r="I1268" s="107">
        <v>1</v>
      </c>
      <c r="K1268" s="370">
        <v>8003</v>
      </c>
      <c r="L1268" s="371" t="s">
        <v>1943</v>
      </c>
      <c r="M1268" s="372" t="s">
        <v>2819</v>
      </c>
      <c r="N1268" s="373"/>
    </row>
    <row r="1269" spans="1:16" ht="12.75">
      <c r="A1269">
        <v>1262</v>
      </c>
      <c r="B1269" s="557">
        <v>14516</v>
      </c>
      <c r="C1269" t="s">
        <v>5619</v>
      </c>
      <c r="D1269" s="107" t="s">
        <v>2522</v>
      </c>
      <c r="E1269">
        <v>1</v>
      </c>
      <c r="F1269" s="556">
        <v>3</v>
      </c>
      <c r="G1269" s="541">
        <v>3423.32</v>
      </c>
      <c r="H1269" s="560">
        <v>0</v>
      </c>
      <c r="I1269" s="107">
        <v>1</v>
      </c>
      <c r="K1269" s="370">
        <v>8004</v>
      </c>
      <c r="L1269" s="371" t="s">
        <v>1944</v>
      </c>
      <c r="M1269" s="372" t="s">
        <v>974</v>
      </c>
      <c r="N1269" s="373" t="s">
        <v>1945</v>
      </c>
      <c r="O1269" s="374" t="s">
        <v>1944</v>
      </c>
      <c r="P1269" s="374" t="s">
        <v>3175</v>
      </c>
    </row>
    <row r="1270" spans="1:16" ht="12.75">
      <c r="A1270">
        <v>1263</v>
      </c>
      <c r="B1270" s="557">
        <v>1990</v>
      </c>
      <c r="C1270" t="s">
        <v>5620</v>
      </c>
      <c r="D1270" s="107" t="s">
        <v>2522</v>
      </c>
      <c r="E1270">
        <v>227</v>
      </c>
      <c r="F1270" s="556">
        <v>3</v>
      </c>
      <c r="G1270" s="541">
        <v>14.97</v>
      </c>
      <c r="H1270" s="560">
        <v>0</v>
      </c>
      <c r="I1270" s="107">
        <v>5</v>
      </c>
      <c r="K1270" s="370">
        <v>8014</v>
      </c>
      <c r="L1270" s="371" t="s">
        <v>1946</v>
      </c>
      <c r="M1270" s="372" t="s">
        <v>3173</v>
      </c>
      <c r="N1270" s="373" t="s">
        <v>1947</v>
      </c>
      <c r="O1270" s="374" t="s">
        <v>1948</v>
      </c>
      <c r="P1270" s="374" t="s">
        <v>3175</v>
      </c>
    </row>
    <row r="1271" spans="1:16" ht="12.75">
      <c r="A1271">
        <v>1264</v>
      </c>
      <c r="B1271" s="557" t="s">
        <v>4203</v>
      </c>
      <c r="C1271" t="s">
        <v>5621</v>
      </c>
      <c r="D1271" s="107" t="s">
        <v>2439</v>
      </c>
      <c r="E1271">
        <v>974</v>
      </c>
      <c r="F1271" s="556">
        <v>3</v>
      </c>
      <c r="G1271" s="541">
        <v>3.46</v>
      </c>
      <c r="H1271" s="560">
        <v>0</v>
      </c>
      <c r="I1271" s="107">
        <v>1</v>
      </c>
      <c r="K1271" s="370">
        <v>8016</v>
      </c>
      <c r="L1271" s="371" t="s">
        <v>1949</v>
      </c>
      <c r="M1271" s="372" t="s">
        <v>3173</v>
      </c>
      <c r="N1271" s="373" t="s">
        <v>1950</v>
      </c>
      <c r="O1271" s="374" t="s">
        <v>1951</v>
      </c>
      <c r="P1271" s="374" t="s">
        <v>3175</v>
      </c>
    </row>
    <row r="1272" spans="1:16" ht="12.75">
      <c r="A1272">
        <v>1265</v>
      </c>
      <c r="B1272" s="557" t="s">
        <v>4010</v>
      </c>
      <c r="C1272" t="s">
        <v>5049</v>
      </c>
      <c r="D1272" s="107" t="s">
        <v>2443</v>
      </c>
      <c r="E1272">
        <v>978</v>
      </c>
      <c r="F1272" s="556">
        <v>3</v>
      </c>
      <c r="G1272" s="541">
        <v>3.42</v>
      </c>
      <c r="H1272" s="560">
        <v>0</v>
      </c>
      <c r="I1272" s="107">
        <v>2</v>
      </c>
      <c r="K1272" s="370">
        <v>8018</v>
      </c>
      <c r="L1272" s="371" t="s">
        <v>1952</v>
      </c>
      <c r="M1272" s="372" t="s">
        <v>974</v>
      </c>
      <c r="N1272" s="373" t="s">
        <v>1953</v>
      </c>
      <c r="O1272" s="374" t="s">
        <v>1952</v>
      </c>
      <c r="P1272" s="374" t="s">
        <v>3175</v>
      </c>
    </row>
    <row r="1273" spans="1:16" ht="12.75">
      <c r="A1273">
        <v>1266</v>
      </c>
      <c r="B1273" s="557" t="s">
        <v>4089</v>
      </c>
      <c r="C1273" t="s">
        <v>4090</v>
      </c>
      <c r="D1273" s="107" t="s">
        <v>2439</v>
      </c>
      <c r="E1273">
        <v>5799</v>
      </c>
      <c r="F1273" s="556">
        <v>3</v>
      </c>
      <c r="G1273" s="541">
        <v>0.57</v>
      </c>
      <c r="H1273" s="560">
        <v>0</v>
      </c>
      <c r="I1273" s="107">
        <v>2</v>
      </c>
      <c r="K1273" s="370">
        <v>8019</v>
      </c>
      <c r="L1273" s="371" t="s">
        <v>1954</v>
      </c>
      <c r="M1273" s="372" t="s">
        <v>3164</v>
      </c>
      <c r="N1273" s="373" t="s">
        <v>1955</v>
      </c>
      <c r="O1273" s="374" t="s">
        <v>1954</v>
      </c>
      <c r="P1273" s="374" t="s">
        <v>3166</v>
      </c>
    </row>
    <row r="1274" spans="1:16" ht="12.75">
      <c r="A1274">
        <v>1267</v>
      </c>
      <c r="B1274" s="557">
        <v>1421</v>
      </c>
      <c r="C1274" t="s">
        <v>4321</v>
      </c>
      <c r="D1274" s="107" t="s">
        <v>2522</v>
      </c>
      <c r="E1274">
        <v>1</v>
      </c>
      <c r="F1274" s="556">
        <v>3</v>
      </c>
      <c r="G1274" s="541">
        <v>3250</v>
      </c>
      <c r="H1274" s="560">
        <v>0</v>
      </c>
      <c r="I1274" s="107">
        <v>1</v>
      </c>
      <c r="K1274" s="370">
        <v>8020</v>
      </c>
      <c r="L1274" s="371" t="s">
        <v>1956</v>
      </c>
      <c r="M1274" s="372" t="s">
        <v>3164</v>
      </c>
      <c r="N1274" s="373" t="s">
        <v>1957</v>
      </c>
      <c r="O1274" s="374" t="s">
        <v>1956</v>
      </c>
      <c r="P1274" s="374" t="s">
        <v>3166</v>
      </c>
    </row>
    <row r="1275" spans="1:16" ht="12.75">
      <c r="A1275">
        <v>1268</v>
      </c>
      <c r="B1275" s="557">
        <v>6516</v>
      </c>
      <c r="C1275" t="s">
        <v>5622</v>
      </c>
      <c r="D1275" s="107" t="s">
        <v>2439</v>
      </c>
      <c r="E1275">
        <v>8847</v>
      </c>
      <c r="F1275" s="556">
        <v>3</v>
      </c>
      <c r="G1275" s="541">
        <v>0.36</v>
      </c>
      <c r="H1275" s="560">
        <v>0</v>
      </c>
      <c r="I1275" s="107">
        <v>2</v>
      </c>
      <c r="K1275" s="370">
        <v>8026</v>
      </c>
      <c r="L1275" s="371" t="s">
        <v>1958</v>
      </c>
      <c r="M1275" s="372" t="s">
        <v>974</v>
      </c>
      <c r="N1275" s="373" t="s">
        <v>1959</v>
      </c>
      <c r="O1275" s="374" t="s">
        <v>1958</v>
      </c>
      <c r="P1275" s="374" t="s">
        <v>3175</v>
      </c>
    </row>
    <row r="1276" spans="1:16" ht="12.75">
      <c r="A1276">
        <v>1269</v>
      </c>
      <c r="B1276" s="557" t="s">
        <v>5623</v>
      </c>
      <c r="C1276" t="s">
        <v>5624</v>
      </c>
      <c r="D1276" s="107" t="s">
        <v>2522</v>
      </c>
      <c r="E1276">
        <v>1</v>
      </c>
      <c r="F1276" s="556">
        <v>3</v>
      </c>
      <c r="G1276" s="541">
        <v>3152.74</v>
      </c>
      <c r="H1276" s="560">
        <v>0</v>
      </c>
      <c r="I1276" s="107">
        <v>1</v>
      </c>
      <c r="K1276" s="370">
        <v>8033</v>
      </c>
      <c r="L1276" s="371" t="s">
        <v>1960</v>
      </c>
      <c r="M1276" s="372" t="s">
        <v>751</v>
      </c>
      <c r="N1276" s="373" t="s">
        <v>1961</v>
      </c>
      <c r="O1276" s="374" t="s">
        <v>1960</v>
      </c>
      <c r="P1276" s="374" t="s">
        <v>754</v>
      </c>
    </row>
    <row r="1277" spans="1:14" ht="12.75">
      <c r="A1277">
        <v>1270</v>
      </c>
      <c r="B1277" s="557">
        <v>4798</v>
      </c>
      <c r="C1277" t="s">
        <v>5625</v>
      </c>
      <c r="D1277" s="107" t="s">
        <v>2439</v>
      </c>
      <c r="E1277">
        <v>90</v>
      </c>
      <c r="F1277" s="556">
        <v>3</v>
      </c>
      <c r="G1277" s="541">
        <v>34</v>
      </c>
      <c r="H1277" s="560">
        <v>0</v>
      </c>
      <c r="I1277" s="107">
        <v>1</v>
      </c>
      <c r="K1277" s="370">
        <v>8035</v>
      </c>
      <c r="L1277" s="371" t="s">
        <v>1962</v>
      </c>
      <c r="M1277" s="372" t="s">
        <v>2819</v>
      </c>
      <c r="N1277" s="373"/>
    </row>
    <row r="1278" spans="1:14" ht="12.75">
      <c r="A1278">
        <v>1271</v>
      </c>
      <c r="B1278" s="557">
        <v>14102</v>
      </c>
      <c r="C1278" t="s">
        <v>5626</v>
      </c>
      <c r="D1278" s="107" t="s">
        <v>2522</v>
      </c>
      <c r="E1278">
        <v>2</v>
      </c>
      <c r="F1278" s="556">
        <v>3</v>
      </c>
      <c r="G1278" s="541">
        <v>1502.5</v>
      </c>
      <c r="H1278" s="560">
        <v>0</v>
      </c>
      <c r="I1278" s="107">
        <v>2</v>
      </c>
      <c r="K1278" s="370">
        <v>8037</v>
      </c>
      <c r="L1278" s="371" t="s">
        <v>1963</v>
      </c>
      <c r="M1278" s="372" t="s">
        <v>2819</v>
      </c>
      <c r="N1278" s="373"/>
    </row>
    <row r="1279" spans="1:16" ht="12.75">
      <c r="A1279">
        <v>1272</v>
      </c>
      <c r="B1279" s="557">
        <v>14115</v>
      </c>
      <c r="C1279" t="s">
        <v>5627</v>
      </c>
      <c r="D1279" s="107" t="s">
        <v>2522</v>
      </c>
      <c r="E1279">
        <v>1</v>
      </c>
      <c r="F1279" s="556">
        <v>3</v>
      </c>
      <c r="G1279" s="541">
        <v>3000</v>
      </c>
      <c r="H1279" s="560">
        <v>0</v>
      </c>
      <c r="I1279" s="107">
        <v>1</v>
      </c>
      <c r="K1279" s="370">
        <v>8039</v>
      </c>
      <c r="L1279" s="371" t="s">
        <v>1964</v>
      </c>
      <c r="M1279" s="372" t="s">
        <v>751</v>
      </c>
      <c r="N1279" s="373" t="s">
        <v>1965</v>
      </c>
      <c r="O1279" s="374" t="s">
        <v>1964</v>
      </c>
      <c r="P1279" s="374" t="s">
        <v>754</v>
      </c>
    </row>
    <row r="1280" spans="1:14" ht="12.75">
      <c r="A1280">
        <v>1273</v>
      </c>
      <c r="B1280" s="557" t="s">
        <v>5628</v>
      </c>
      <c r="C1280" t="s">
        <v>5629</v>
      </c>
      <c r="D1280" s="107" t="s">
        <v>2439</v>
      </c>
      <c r="E1280">
        <v>20</v>
      </c>
      <c r="F1280" s="556">
        <v>3</v>
      </c>
      <c r="G1280" s="541">
        <v>150</v>
      </c>
      <c r="H1280" s="560">
        <v>0</v>
      </c>
      <c r="I1280" s="107">
        <v>1</v>
      </c>
      <c r="K1280" s="370">
        <v>8040</v>
      </c>
      <c r="L1280" s="371" t="s">
        <v>1966</v>
      </c>
      <c r="M1280" s="372" t="s">
        <v>2821</v>
      </c>
      <c r="N1280" s="373"/>
    </row>
    <row r="1281" spans="1:16" ht="12.75">
      <c r="A1281">
        <v>1274</v>
      </c>
      <c r="B1281" s="557">
        <v>40150</v>
      </c>
      <c r="C1281" t="s">
        <v>5630</v>
      </c>
      <c r="D1281" s="107" t="s">
        <v>2522</v>
      </c>
      <c r="E1281">
        <v>2</v>
      </c>
      <c r="F1281" s="556">
        <v>3</v>
      </c>
      <c r="G1281" s="541">
        <v>1500</v>
      </c>
      <c r="H1281" s="560">
        <v>0</v>
      </c>
      <c r="I1281" s="107">
        <v>1</v>
      </c>
      <c r="K1281" s="370">
        <v>8042</v>
      </c>
      <c r="L1281" s="371" t="s">
        <v>1967</v>
      </c>
      <c r="M1281" s="372" t="s">
        <v>751</v>
      </c>
      <c r="N1281" s="373" t="s">
        <v>1968</v>
      </c>
      <c r="O1281" s="374" t="s">
        <v>1969</v>
      </c>
      <c r="P1281" s="374" t="s">
        <v>754</v>
      </c>
    </row>
    <row r="1282" spans="1:16" ht="12.75">
      <c r="A1282">
        <v>1275</v>
      </c>
      <c r="B1282" s="557">
        <v>6544</v>
      </c>
      <c r="C1282" t="s">
        <v>5631</v>
      </c>
      <c r="D1282" s="107" t="s">
        <v>2439</v>
      </c>
      <c r="E1282">
        <v>1112</v>
      </c>
      <c r="F1282" s="556">
        <v>3</v>
      </c>
      <c r="G1282" s="541">
        <v>2.69</v>
      </c>
      <c r="H1282" s="560">
        <v>0</v>
      </c>
      <c r="I1282" s="107">
        <v>4</v>
      </c>
      <c r="K1282" s="370">
        <v>8046</v>
      </c>
      <c r="L1282" s="371" t="s">
        <v>1970</v>
      </c>
      <c r="M1282" s="372" t="s">
        <v>751</v>
      </c>
      <c r="N1282" s="373" t="s">
        <v>1971</v>
      </c>
      <c r="O1282" s="374" t="s">
        <v>1972</v>
      </c>
      <c r="P1282" s="374" t="s">
        <v>754</v>
      </c>
    </row>
    <row r="1283" spans="1:16" ht="12.75">
      <c r="A1283">
        <v>1276</v>
      </c>
      <c r="B1283" s="557">
        <v>15072</v>
      </c>
      <c r="C1283" t="s">
        <v>5632</v>
      </c>
      <c r="D1283" s="107" t="s">
        <v>2522</v>
      </c>
      <c r="E1283">
        <v>1</v>
      </c>
      <c r="F1283" s="556">
        <v>3</v>
      </c>
      <c r="G1283" s="541">
        <v>2950</v>
      </c>
      <c r="H1283" s="560">
        <v>0</v>
      </c>
      <c r="I1283" s="107">
        <v>1</v>
      </c>
      <c r="K1283" s="370">
        <v>8048</v>
      </c>
      <c r="L1283" s="371" t="s">
        <v>1973</v>
      </c>
      <c r="M1283" s="372" t="s">
        <v>751</v>
      </c>
      <c r="N1283" s="373" t="s">
        <v>1974</v>
      </c>
      <c r="O1283" s="374" t="s">
        <v>1975</v>
      </c>
      <c r="P1283" s="374" t="s">
        <v>754</v>
      </c>
    </row>
    <row r="1284" spans="1:16" ht="12.75">
      <c r="A1284">
        <v>1277</v>
      </c>
      <c r="B1284" s="557" t="s">
        <v>4322</v>
      </c>
      <c r="C1284" t="s">
        <v>5633</v>
      </c>
      <c r="D1284" s="107" t="s">
        <v>2439</v>
      </c>
      <c r="E1284">
        <v>274</v>
      </c>
      <c r="F1284" s="556">
        <v>3</v>
      </c>
      <c r="G1284" s="541">
        <v>10.5</v>
      </c>
      <c r="H1284" s="560">
        <v>0</v>
      </c>
      <c r="I1284" s="107">
        <v>1</v>
      </c>
      <c r="K1284" s="370">
        <v>8049</v>
      </c>
      <c r="L1284" s="371" t="s">
        <v>1976</v>
      </c>
      <c r="M1284" s="372" t="s">
        <v>751</v>
      </c>
      <c r="N1284" s="373" t="s">
        <v>1977</v>
      </c>
      <c r="O1284" s="374" t="s">
        <v>1978</v>
      </c>
      <c r="P1284" s="374" t="s">
        <v>754</v>
      </c>
    </row>
    <row r="1285" spans="1:16" ht="12.75">
      <c r="A1285">
        <v>1278</v>
      </c>
      <c r="B1285" s="557">
        <v>14570</v>
      </c>
      <c r="C1285" t="s">
        <v>5634</v>
      </c>
      <c r="D1285" s="107" t="s">
        <v>2522</v>
      </c>
      <c r="E1285">
        <v>1</v>
      </c>
      <c r="F1285" s="556">
        <v>3</v>
      </c>
      <c r="G1285" s="541">
        <v>2825</v>
      </c>
      <c r="H1285" s="560">
        <v>0</v>
      </c>
      <c r="I1285" s="107">
        <v>1</v>
      </c>
      <c r="K1285" s="370">
        <v>8050</v>
      </c>
      <c r="L1285" s="371" t="s">
        <v>1979</v>
      </c>
      <c r="M1285" s="372" t="s">
        <v>751</v>
      </c>
      <c r="N1285" s="373" t="s">
        <v>1980</v>
      </c>
      <c r="O1285" s="374" t="s">
        <v>1981</v>
      </c>
      <c r="P1285" s="374" t="s">
        <v>754</v>
      </c>
    </row>
    <row r="1286" spans="1:16" ht="12.75">
      <c r="A1286">
        <v>1279</v>
      </c>
      <c r="B1286" s="557">
        <v>1787</v>
      </c>
      <c r="C1286" t="s">
        <v>5635</v>
      </c>
      <c r="D1286" s="107" t="s">
        <v>2522</v>
      </c>
      <c r="E1286">
        <v>1</v>
      </c>
      <c r="F1286" s="556">
        <v>3</v>
      </c>
      <c r="G1286" s="541">
        <v>2785</v>
      </c>
      <c r="H1286" s="560">
        <v>0</v>
      </c>
      <c r="I1286" s="107">
        <v>1</v>
      </c>
      <c r="K1286" s="370">
        <v>8051</v>
      </c>
      <c r="L1286" s="371" t="s">
        <v>1982</v>
      </c>
      <c r="M1286" s="372" t="s">
        <v>751</v>
      </c>
      <c r="N1286" s="373" t="s">
        <v>1983</v>
      </c>
      <c r="O1286" s="374" t="s">
        <v>1984</v>
      </c>
      <c r="P1286" s="374" t="s">
        <v>754</v>
      </c>
    </row>
    <row r="1287" spans="1:16" ht="12.75">
      <c r="A1287">
        <v>1280</v>
      </c>
      <c r="B1287" s="557" t="s">
        <v>4146</v>
      </c>
      <c r="C1287" t="s">
        <v>5636</v>
      </c>
      <c r="D1287" s="107" t="s">
        <v>2522</v>
      </c>
      <c r="E1287">
        <v>24</v>
      </c>
      <c r="F1287" s="556">
        <v>3</v>
      </c>
      <c r="G1287" s="541">
        <v>114.28</v>
      </c>
      <c r="H1287" s="560">
        <v>0</v>
      </c>
      <c r="I1287" s="107">
        <v>2</v>
      </c>
      <c r="K1287" s="370">
        <v>8054</v>
      </c>
      <c r="L1287" s="371" t="s">
        <v>1985</v>
      </c>
      <c r="M1287" s="372" t="s">
        <v>751</v>
      </c>
      <c r="N1287" s="373" t="s">
        <v>1986</v>
      </c>
      <c r="O1287" s="374" t="s">
        <v>1987</v>
      </c>
      <c r="P1287" s="374" t="s">
        <v>754</v>
      </c>
    </row>
    <row r="1288" spans="1:16" ht="12.75">
      <c r="A1288">
        <v>1281</v>
      </c>
      <c r="B1288" s="557" t="s">
        <v>4252</v>
      </c>
      <c r="C1288" t="s">
        <v>4433</v>
      </c>
      <c r="D1288" s="107" t="s">
        <v>1771</v>
      </c>
      <c r="E1288">
        <v>135</v>
      </c>
      <c r="F1288" s="556">
        <v>3</v>
      </c>
      <c r="G1288" s="541">
        <v>19.37</v>
      </c>
      <c r="H1288" s="560">
        <v>0</v>
      </c>
      <c r="I1288" s="107">
        <v>1</v>
      </c>
      <c r="K1288" s="370">
        <v>8055</v>
      </c>
      <c r="L1288" s="371" t="s">
        <v>1988</v>
      </c>
      <c r="M1288" s="372" t="s">
        <v>751</v>
      </c>
      <c r="N1288" s="373" t="s">
        <v>1989</v>
      </c>
      <c r="O1288" s="374" t="s">
        <v>1990</v>
      </c>
      <c r="P1288" s="374" t="s">
        <v>754</v>
      </c>
    </row>
    <row r="1289" spans="1:16" ht="12.75">
      <c r="A1289">
        <v>1282</v>
      </c>
      <c r="B1289" s="557">
        <v>40024</v>
      </c>
      <c r="C1289" t="s">
        <v>5637</v>
      </c>
      <c r="D1289" s="107" t="s">
        <v>1772</v>
      </c>
      <c r="E1289">
        <v>160</v>
      </c>
      <c r="F1289" s="556">
        <v>3</v>
      </c>
      <c r="G1289" s="541">
        <v>16.27</v>
      </c>
      <c r="H1289" s="560">
        <v>0</v>
      </c>
      <c r="I1289" s="107">
        <v>1</v>
      </c>
      <c r="K1289" s="370">
        <v>8056</v>
      </c>
      <c r="L1289" s="371" t="s">
        <v>1991</v>
      </c>
      <c r="M1289" s="372" t="s">
        <v>751</v>
      </c>
      <c r="N1289" s="373" t="s">
        <v>1992</v>
      </c>
      <c r="O1289" s="374" t="s">
        <v>2904</v>
      </c>
      <c r="P1289" s="374" t="s">
        <v>754</v>
      </c>
    </row>
    <row r="1290" spans="1:16" ht="12.75">
      <c r="A1290">
        <v>1283</v>
      </c>
      <c r="B1290" s="557" t="s">
        <v>5638</v>
      </c>
      <c r="C1290" t="s">
        <v>5639</v>
      </c>
      <c r="D1290" s="107" t="s">
        <v>2522</v>
      </c>
      <c r="E1290">
        <v>13</v>
      </c>
      <c r="F1290" s="556">
        <v>3</v>
      </c>
      <c r="G1290" s="541">
        <v>200</v>
      </c>
      <c r="H1290" s="560">
        <v>0</v>
      </c>
      <c r="I1290" s="107">
        <v>1</v>
      </c>
      <c r="K1290" s="370">
        <v>8060</v>
      </c>
      <c r="L1290" s="371" t="s">
        <v>2905</v>
      </c>
      <c r="M1290" s="372" t="s">
        <v>751</v>
      </c>
      <c r="N1290" s="373" t="s">
        <v>2906</v>
      </c>
      <c r="O1290" s="374" t="s">
        <v>3427</v>
      </c>
      <c r="P1290" s="374" t="s">
        <v>754</v>
      </c>
    </row>
    <row r="1291" spans="1:16" ht="12.75">
      <c r="A1291">
        <v>1284</v>
      </c>
      <c r="B1291" s="557">
        <v>6588</v>
      </c>
      <c r="C1291" t="s">
        <v>5640</v>
      </c>
      <c r="D1291" s="107" t="s">
        <v>2522</v>
      </c>
      <c r="E1291">
        <v>465</v>
      </c>
      <c r="F1291" s="556">
        <v>3</v>
      </c>
      <c r="G1291" s="541">
        <v>5.53</v>
      </c>
      <c r="H1291" s="560">
        <v>0</v>
      </c>
      <c r="I1291" s="107">
        <v>2</v>
      </c>
      <c r="K1291" s="370">
        <v>8062</v>
      </c>
      <c r="L1291" s="371" t="s">
        <v>3428</v>
      </c>
      <c r="M1291" s="372" t="s">
        <v>751</v>
      </c>
      <c r="N1291" s="373" t="s">
        <v>3429</v>
      </c>
      <c r="O1291" s="374" t="s">
        <v>3430</v>
      </c>
      <c r="P1291" s="374" t="s">
        <v>754</v>
      </c>
    </row>
    <row r="1292" spans="1:16" ht="12.75">
      <c r="A1292">
        <v>1285</v>
      </c>
      <c r="B1292" s="557" t="s">
        <v>5641</v>
      </c>
      <c r="C1292" t="s">
        <v>5642</v>
      </c>
      <c r="D1292" s="107" t="s">
        <v>1772</v>
      </c>
      <c r="E1292">
        <v>14</v>
      </c>
      <c r="F1292" s="556">
        <v>3</v>
      </c>
      <c r="G1292" s="541">
        <v>180</v>
      </c>
      <c r="H1292" s="560">
        <v>0</v>
      </c>
      <c r="I1292" s="107">
        <v>1</v>
      </c>
      <c r="K1292" s="370">
        <v>8064</v>
      </c>
      <c r="L1292" s="371" t="s">
        <v>3431</v>
      </c>
      <c r="M1292" s="372" t="s">
        <v>751</v>
      </c>
      <c r="N1292" s="373" t="s">
        <v>3432</v>
      </c>
      <c r="O1292" s="374" t="s">
        <v>3433</v>
      </c>
      <c r="P1292" s="374" t="s">
        <v>754</v>
      </c>
    </row>
    <row r="1293" spans="1:16" ht="12.75">
      <c r="A1293">
        <v>1286</v>
      </c>
      <c r="B1293" s="557">
        <v>14517</v>
      </c>
      <c r="C1293" t="s">
        <v>5643</v>
      </c>
      <c r="D1293" s="107" t="s">
        <v>2522</v>
      </c>
      <c r="E1293">
        <v>1</v>
      </c>
      <c r="F1293" s="556">
        <v>3</v>
      </c>
      <c r="G1293" s="541">
        <v>2515.32</v>
      </c>
      <c r="H1293" s="560">
        <v>0</v>
      </c>
      <c r="I1293" s="107">
        <v>1</v>
      </c>
      <c r="K1293" s="370">
        <v>8066</v>
      </c>
      <c r="L1293" s="371" t="s">
        <v>3434</v>
      </c>
      <c r="M1293" s="372" t="s">
        <v>751</v>
      </c>
      <c r="N1293" s="373" t="s">
        <v>3435</v>
      </c>
      <c r="O1293" s="374" t="s">
        <v>3436</v>
      </c>
      <c r="P1293" s="374" t="s">
        <v>754</v>
      </c>
    </row>
    <row r="1294" spans="1:16" ht="12.75">
      <c r="A1294">
        <v>1287</v>
      </c>
      <c r="B1294" s="557">
        <v>2404</v>
      </c>
      <c r="C1294" t="s">
        <v>5644</v>
      </c>
      <c r="D1294" s="107" t="s">
        <v>2522</v>
      </c>
      <c r="E1294">
        <v>1</v>
      </c>
      <c r="F1294" s="556">
        <v>3</v>
      </c>
      <c r="G1294" s="541">
        <v>2500</v>
      </c>
      <c r="H1294" s="560">
        <v>0</v>
      </c>
      <c r="I1294" s="107">
        <v>1</v>
      </c>
      <c r="K1294" s="370">
        <v>8067</v>
      </c>
      <c r="L1294" s="371" t="s">
        <v>3437</v>
      </c>
      <c r="M1294" s="372" t="s">
        <v>751</v>
      </c>
      <c r="N1294" s="373" t="s">
        <v>3438</v>
      </c>
      <c r="O1294" s="374" t="s">
        <v>3439</v>
      </c>
      <c r="P1294" s="374" t="s">
        <v>754</v>
      </c>
    </row>
    <row r="1295" spans="1:16" ht="12.75">
      <c r="A1295">
        <v>1288</v>
      </c>
      <c r="B1295" s="557">
        <v>4721</v>
      </c>
      <c r="C1295" t="s">
        <v>5645</v>
      </c>
      <c r="D1295" s="107" t="s">
        <v>2522</v>
      </c>
      <c r="E1295">
        <v>2</v>
      </c>
      <c r="F1295" s="556">
        <v>3</v>
      </c>
      <c r="G1295" s="541">
        <v>1250</v>
      </c>
      <c r="H1295" s="560">
        <v>0</v>
      </c>
      <c r="I1295" s="107">
        <v>1</v>
      </c>
      <c r="K1295" s="370">
        <v>8068</v>
      </c>
      <c r="L1295" s="371" t="s">
        <v>3440</v>
      </c>
      <c r="M1295" s="372" t="s">
        <v>751</v>
      </c>
      <c r="N1295" s="373" t="s">
        <v>3441</v>
      </c>
      <c r="O1295" s="374" t="s">
        <v>3442</v>
      </c>
      <c r="P1295" s="374" t="s">
        <v>754</v>
      </c>
    </row>
    <row r="1296" spans="1:16" ht="12.75">
      <c r="A1296">
        <v>1289</v>
      </c>
      <c r="B1296" s="557" t="s">
        <v>5646</v>
      </c>
      <c r="C1296" t="s">
        <v>5446</v>
      </c>
      <c r="D1296" s="107" t="s">
        <v>2439</v>
      </c>
      <c r="E1296">
        <v>50</v>
      </c>
      <c r="F1296" s="556">
        <v>3</v>
      </c>
      <c r="G1296" s="541">
        <v>50</v>
      </c>
      <c r="H1296" s="560">
        <v>0</v>
      </c>
      <c r="I1296" s="107">
        <v>1</v>
      </c>
      <c r="K1296" s="370">
        <v>8072</v>
      </c>
      <c r="L1296" s="371" t="s">
        <v>3443</v>
      </c>
      <c r="M1296" s="372" t="s">
        <v>751</v>
      </c>
      <c r="N1296" s="373" t="s">
        <v>3444</v>
      </c>
      <c r="O1296" s="374" t="s">
        <v>3445</v>
      </c>
      <c r="P1296" s="374" t="s">
        <v>754</v>
      </c>
    </row>
    <row r="1297" spans="1:16" ht="12.75">
      <c r="A1297">
        <v>1290</v>
      </c>
      <c r="B1297" s="557" t="s">
        <v>5647</v>
      </c>
      <c r="C1297" t="s">
        <v>5648</v>
      </c>
      <c r="D1297" s="107" t="s">
        <v>2441</v>
      </c>
      <c r="E1297">
        <v>1</v>
      </c>
      <c r="F1297" s="556">
        <v>3</v>
      </c>
      <c r="G1297" s="541">
        <v>2500</v>
      </c>
      <c r="H1297" s="560">
        <v>0</v>
      </c>
      <c r="I1297" s="107">
        <v>1</v>
      </c>
      <c r="K1297" s="370">
        <v>8080</v>
      </c>
      <c r="L1297" s="371" t="s">
        <v>3446</v>
      </c>
      <c r="M1297" s="372" t="s">
        <v>751</v>
      </c>
      <c r="N1297" s="373" t="s">
        <v>3447</v>
      </c>
      <c r="O1297" s="374" t="s">
        <v>3448</v>
      </c>
      <c r="P1297" s="374" t="s">
        <v>754</v>
      </c>
    </row>
    <row r="1298" spans="1:16" ht="12.75">
      <c r="A1298">
        <v>1291</v>
      </c>
      <c r="B1298" s="557" t="s">
        <v>5649</v>
      </c>
      <c r="C1298" t="s">
        <v>5650</v>
      </c>
      <c r="D1298" s="107" t="s">
        <v>2441</v>
      </c>
      <c r="E1298">
        <v>1</v>
      </c>
      <c r="F1298" s="556">
        <v>3</v>
      </c>
      <c r="G1298" s="541">
        <v>2500</v>
      </c>
      <c r="H1298" s="560">
        <v>0</v>
      </c>
      <c r="I1298" s="107">
        <v>1</v>
      </c>
      <c r="K1298" s="370">
        <v>8082</v>
      </c>
      <c r="L1298" s="371" t="s">
        <v>3449</v>
      </c>
      <c r="M1298" s="372" t="s">
        <v>751</v>
      </c>
      <c r="N1298" s="373" t="s">
        <v>3450</v>
      </c>
      <c r="O1298" s="374" t="s">
        <v>3451</v>
      </c>
      <c r="P1298" s="374" t="s">
        <v>754</v>
      </c>
    </row>
    <row r="1299" spans="1:16" ht="12.75">
      <c r="A1299">
        <v>1292</v>
      </c>
      <c r="B1299" s="557">
        <v>40005</v>
      </c>
      <c r="C1299" t="s">
        <v>5651</v>
      </c>
      <c r="D1299" s="107" t="s">
        <v>2522</v>
      </c>
      <c r="E1299">
        <v>50</v>
      </c>
      <c r="F1299" s="556">
        <v>3</v>
      </c>
      <c r="G1299" s="541">
        <v>50</v>
      </c>
      <c r="H1299" s="560">
        <v>0</v>
      </c>
      <c r="I1299" s="107">
        <v>1</v>
      </c>
      <c r="K1299" s="370">
        <v>8086</v>
      </c>
      <c r="L1299" s="371" t="s">
        <v>3452</v>
      </c>
      <c r="M1299" s="372" t="s">
        <v>751</v>
      </c>
      <c r="N1299" s="373" t="s">
        <v>3453</v>
      </c>
      <c r="O1299" s="374" t="s">
        <v>3454</v>
      </c>
      <c r="P1299" s="374" t="s">
        <v>754</v>
      </c>
    </row>
    <row r="1300" spans="1:16" ht="12.75">
      <c r="A1300">
        <v>1293</v>
      </c>
      <c r="B1300" s="557">
        <v>40102</v>
      </c>
      <c r="C1300" t="s">
        <v>5652</v>
      </c>
      <c r="D1300" s="107" t="s">
        <v>3416</v>
      </c>
      <c r="E1300">
        <v>210</v>
      </c>
      <c r="F1300" s="556">
        <v>2</v>
      </c>
      <c r="G1300" s="541">
        <v>11.79</v>
      </c>
      <c r="H1300" s="560">
        <v>0</v>
      </c>
      <c r="I1300" s="107">
        <v>1</v>
      </c>
      <c r="K1300" s="370">
        <v>8093</v>
      </c>
      <c r="L1300" s="371" t="s">
        <v>3455</v>
      </c>
      <c r="M1300" s="372" t="s">
        <v>2821</v>
      </c>
      <c r="N1300" s="373" t="s">
        <v>3456</v>
      </c>
      <c r="O1300" s="374" t="s">
        <v>3457</v>
      </c>
      <c r="P1300" s="374" t="s">
        <v>2821</v>
      </c>
    </row>
    <row r="1301" spans="1:16" ht="12.75">
      <c r="A1301">
        <v>1294</v>
      </c>
      <c r="B1301" s="557" t="s">
        <v>5653</v>
      </c>
      <c r="C1301" t="s">
        <v>5654</v>
      </c>
      <c r="D1301" s="107" t="s">
        <v>2522</v>
      </c>
      <c r="E1301">
        <v>8</v>
      </c>
      <c r="F1301" s="556">
        <v>2</v>
      </c>
      <c r="G1301" s="541">
        <v>300</v>
      </c>
      <c r="H1301" s="560">
        <v>0</v>
      </c>
      <c r="I1301" s="107">
        <v>2</v>
      </c>
      <c r="K1301" s="370">
        <v>8094</v>
      </c>
      <c r="L1301" s="371" t="s">
        <v>3458</v>
      </c>
      <c r="M1301" s="372" t="s">
        <v>2821</v>
      </c>
      <c r="N1301" s="373" t="s">
        <v>3459</v>
      </c>
      <c r="O1301" s="374" t="s">
        <v>3460</v>
      </c>
      <c r="P1301" s="374" t="s">
        <v>2821</v>
      </c>
    </row>
    <row r="1302" spans="1:16" ht="12.75">
      <c r="A1302">
        <v>1295</v>
      </c>
      <c r="B1302" s="557" t="s">
        <v>4317</v>
      </c>
      <c r="C1302" t="s">
        <v>5655</v>
      </c>
      <c r="D1302" s="107" t="s">
        <v>2522</v>
      </c>
      <c r="E1302">
        <v>14</v>
      </c>
      <c r="F1302" s="556">
        <v>2</v>
      </c>
      <c r="G1302" s="541">
        <v>167.86</v>
      </c>
      <c r="H1302" s="560">
        <v>0</v>
      </c>
      <c r="I1302" s="107">
        <v>2</v>
      </c>
      <c r="K1302" s="370">
        <v>8095</v>
      </c>
      <c r="L1302" s="371" t="s">
        <v>3461</v>
      </c>
      <c r="M1302" s="372" t="s">
        <v>2821</v>
      </c>
      <c r="N1302" s="373" t="s">
        <v>3462</v>
      </c>
      <c r="O1302" s="374" t="s">
        <v>3463</v>
      </c>
      <c r="P1302" s="374" t="s">
        <v>2821</v>
      </c>
    </row>
    <row r="1303" spans="1:16" ht="12.75">
      <c r="A1303">
        <v>1296</v>
      </c>
      <c r="B1303" s="557" t="s">
        <v>5656</v>
      </c>
      <c r="C1303" t="s">
        <v>5657</v>
      </c>
      <c r="D1303" s="107" t="s">
        <v>2439</v>
      </c>
      <c r="E1303">
        <v>170</v>
      </c>
      <c r="F1303" s="556">
        <v>2</v>
      </c>
      <c r="G1303" s="541">
        <v>13.67</v>
      </c>
      <c r="H1303" s="560">
        <v>0</v>
      </c>
      <c r="I1303" s="107">
        <v>2</v>
      </c>
      <c r="K1303" s="370">
        <v>8096</v>
      </c>
      <c r="L1303" s="371" t="s">
        <v>3464</v>
      </c>
      <c r="M1303" s="372" t="s">
        <v>751</v>
      </c>
      <c r="N1303" s="373" t="s">
        <v>3465</v>
      </c>
      <c r="O1303" s="374" t="s">
        <v>3466</v>
      </c>
      <c r="P1303" s="374" t="s">
        <v>754</v>
      </c>
    </row>
    <row r="1304" spans="1:16" ht="12.75">
      <c r="A1304">
        <v>1297</v>
      </c>
      <c r="B1304" s="557">
        <v>1209</v>
      </c>
      <c r="C1304" t="s">
        <v>5658</v>
      </c>
      <c r="D1304" s="107" t="s">
        <v>2522</v>
      </c>
      <c r="E1304">
        <v>1</v>
      </c>
      <c r="F1304" s="556">
        <v>2</v>
      </c>
      <c r="G1304" s="541">
        <v>2315</v>
      </c>
      <c r="H1304" s="560">
        <v>0</v>
      </c>
      <c r="I1304" s="107">
        <v>1</v>
      </c>
      <c r="K1304" s="370">
        <v>8100</v>
      </c>
      <c r="L1304" s="371" t="s">
        <v>3467</v>
      </c>
      <c r="M1304" s="372" t="s">
        <v>3195</v>
      </c>
      <c r="N1304" s="373" t="s">
        <v>3468</v>
      </c>
      <c r="O1304" s="374" t="s">
        <v>3467</v>
      </c>
      <c r="P1304" s="374" t="s">
        <v>3197</v>
      </c>
    </row>
    <row r="1305" spans="1:16" ht="12.75">
      <c r="A1305">
        <v>1298</v>
      </c>
      <c r="B1305" s="557">
        <v>1580</v>
      </c>
      <c r="C1305" t="s">
        <v>5659</v>
      </c>
      <c r="D1305" s="107" t="s">
        <v>2522</v>
      </c>
      <c r="E1305">
        <v>1</v>
      </c>
      <c r="F1305" s="556">
        <v>2</v>
      </c>
      <c r="G1305" s="541">
        <v>2300</v>
      </c>
      <c r="H1305" s="560">
        <v>0</v>
      </c>
      <c r="I1305" s="107">
        <v>1</v>
      </c>
      <c r="K1305" s="370">
        <v>8102</v>
      </c>
      <c r="L1305" s="371" t="s">
        <v>3469</v>
      </c>
      <c r="M1305" s="372" t="s">
        <v>3195</v>
      </c>
      <c r="N1305" s="373" t="s">
        <v>3470</v>
      </c>
      <c r="O1305" s="374" t="s">
        <v>3469</v>
      </c>
      <c r="P1305" s="374" t="s">
        <v>3197</v>
      </c>
    </row>
    <row r="1306" spans="1:16" ht="12.75">
      <c r="A1306">
        <v>1299</v>
      </c>
      <c r="B1306" s="557" t="s">
        <v>5660</v>
      </c>
      <c r="C1306" t="s">
        <v>5661</v>
      </c>
      <c r="D1306" s="107" t="s">
        <v>2522</v>
      </c>
      <c r="E1306">
        <v>10</v>
      </c>
      <c r="F1306" s="556">
        <v>2</v>
      </c>
      <c r="G1306" s="541">
        <v>225</v>
      </c>
      <c r="H1306" s="560">
        <v>0</v>
      </c>
      <c r="I1306" s="107">
        <v>1</v>
      </c>
      <c r="K1306" s="370">
        <v>8103</v>
      </c>
      <c r="L1306" s="371" t="s">
        <v>3471</v>
      </c>
      <c r="M1306" s="372" t="s">
        <v>3195</v>
      </c>
      <c r="N1306" s="373" t="s">
        <v>2944</v>
      </c>
      <c r="O1306" s="374" t="s">
        <v>3471</v>
      </c>
      <c r="P1306" s="374" t="s">
        <v>3197</v>
      </c>
    </row>
    <row r="1307" spans="1:16" ht="12.75">
      <c r="A1307">
        <v>1300</v>
      </c>
      <c r="B1307" s="557">
        <v>452</v>
      </c>
      <c r="C1307" t="s">
        <v>5662</v>
      </c>
      <c r="D1307" s="107" t="s">
        <v>2439</v>
      </c>
      <c r="E1307">
        <v>37</v>
      </c>
      <c r="F1307" s="556">
        <v>2</v>
      </c>
      <c r="G1307" s="541">
        <v>60.75</v>
      </c>
      <c r="H1307" s="560">
        <v>0</v>
      </c>
      <c r="I1307" s="107">
        <v>1</v>
      </c>
      <c r="K1307" s="370">
        <v>8104</v>
      </c>
      <c r="L1307" s="371" t="s">
        <v>2945</v>
      </c>
      <c r="M1307" s="372" t="s">
        <v>3195</v>
      </c>
      <c r="N1307" s="373" t="s">
        <v>2946</v>
      </c>
      <c r="O1307" s="374" t="s">
        <v>2945</v>
      </c>
      <c r="P1307" s="374" t="s">
        <v>3197</v>
      </c>
    </row>
    <row r="1308" spans="1:16" ht="12.75">
      <c r="A1308">
        <v>1301</v>
      </c>
      <c r="B1308" s="557" t="s">
        <v>5663</v>
      </c>
      <c r="C1308" t="s">
        <v>5664</v>
      </c>
      <c r="D1308" s="107" t="s">
        <v>2441</v>
      </c>
      <c r="E1308">
        <v>1</v>
      </c>
      <c r="F1308" s="556">
        <v>2</v>
      </c>
      <c r="G1308" s="541">
        <v>2236.64</v>
      </c>
      <c r="H1308" s="560">
        <v>0</v>
      </c>
      <c r="I1308" s="107">
        <v>1</v>
      </c>
      <c r="K1308" s="370">
        <v>8105</v>
      </c>
      <c r="L1308" s="371" t="s">
        <v>2947</v>
      </c>
      <c r="M1308" s="372" t="s">
        <v>3195</v>
      </c>
      <c r="N1308" s="373" t="s">
        <v>2948</v>
      </c>
      <c r="O1308" s="374" t="s">
        <v>2947</v>
      </c>
      <c r="P1308" s="374" t="s">
        <v>3197</v>
      </c>
    </row>
    <row r="1309" spans="1:16" ht="12.75">
      <c r="A1309">
        <v>1302</v>
      </c>
      <c r="B1309" s="557">
        <v>16538</v>
      </c>
      <c r="C1309" t="s">
        <v>5665</v>
      </c>
      <c r="D1309" s="107" t="s">
        <v>2522</v>
      </c>
      <c r="E1309">
        <v>5</v>
      </c>
      <c r="F1309" s="556">
        <v>2</v>
      </c>
      <c r="G1309" s="541">
        <v>440.21</v>
      </c>
      <c r="H1309" s="560">
        <v>0</v>
      </c>
      <c r="I1309" s="107">
        <v>1</v>
      </c>
      <c r="K1309" s="370">
        <v>8106</v>
      </c>
      <c r="L1309" s="371" t="s">
        <v>2949</v>
      </c>
      <c r="M1309" s="372" t="s">
        <v>3195</v>
      </c>
      <c r="N1309" s="373" t="s">
        <v>2950</v>
      </c>
      <c r="O1309" s="374" t="s">
        <v>2949</v>
      </c>
      <c r="P1309" s="374" t="s">
        <v>3197</v>
      </c>
    </row>
    <row r="1310" spans="1:16" ht="12.75">
      <c r="A1310">
        <v>1303</v>
      </c>
      <c r="B1310" s="557" t="s">
        <v>4183</v>
      </c>
      <c r="C1310" t="s">
        <v>5666</v>
      </c>
      <c r="D1310" s="107" t="s">
        <v>2522</v>
      </c>
      <c r="E1310">
        <v>5</v>
      </c>
      <c r="F1310" s="556">
        <v>2</v>
      </c>
      <c r="G1310" s="541">
        <v>438.72</v>
      </c>
      <c r="H1310" s="560">
        <v>0</v>
      </c>
      <c r="I1310" s="107">
        <v>2</v>
      </c>
      <c r="K1310" s="370">
        <v>8107</v>
      </c>
      <c r="L1310" s="371" t="s">
        <v>2951</v>
      </c>
      <c r="M1310" s="372" t="s">
        <v>3195</v>
      </c>
      <c r="N1310" s="373" t="s">
        <v>2952</v>
      </c>
      <c r="O1310" s="374" t="s">
        <v>2951</v>
      </c>
      <c r="P1310" s="374" t="s">
        <v>3197</v>
      </c>
    </row>
    <row r="1311" spans="1:16" ht="12.75">
      <c r="A1311">
        <v>1304</v>
      </c>
      <c r="B1311" s="557" t="s">
        <v>5667</v>
      </c>
      <c r="C1311" t="s">
        <v>5668</v>
      </c>
      <c r="D1311" s="107" t="s">
        <v>2439</v>
      </c>
      <c r="E1311">
        <v>370</v>
      </c>
      <c r="F1311" s="556">
        <v>2</v>
      </c>
      <c r="G1311" s="541">
        <v>5.84</v>
      </c>
      <c r="H1311" s="560">
        <v>0</v>
      </c>
      <c r="I1311" s="107">
        <v>2</v>
      </c>
      <c r="K1311" s="370">
        <v>8109</v>
      </c>
      <c r="L1311" s="371" t="s">
        <v>2953</v>
      </c>
      <c r="M1311" s="372" t="s">
        <v>3195</v>
      </c>
      <c r="N1311" s="373" t="s">
        <v>2954</v>
      </c>
      <c r="O1311" s="374" t="s">
        <v>2953</v>
      </c>
      <c r="P1311" s="374" t="s">
        <v>3197</v>
      </c>
    </row>
    <row r="1312" spans="1:16" ht="12.75">
      <c r="A1312">
        <v>1305</v>
      </c>
      <c r="B1312" s="557">
        <v>1840</v>
      </c>
      <c r="C1312" t="s">
        <v>5669</v>
      </c>
      <c r="D1312" s="107" t="s">
        <v>2439</v>
      </c>
      <c r="E1312">
        <v>30</v>
      </c>
      <c r="F1312" s="556">
        <v>2</v>
      </c>
      <c r="G1312" s="541">
        <v>71.4</v>
      </c>
      <c r="H1312" s="560">
        <v>0</v>
      </c>
      <c r="I1312" s="107">
        <v>1</v>
      </c>
      <c r="K1312" s="370">
        <v>8121</v>
      </c>
      <c r="L1312" s="371" t="s">
        <v>2955</v>
      </c>
      <c r="M1312" s="372" t="s">
        <v>751</v>
      </c>
      <c r="N1312" s="373" t="s">
        <v>2956</v>
      </c>
      <c r="O1312" s="374" t="s">
        <v>2955</v>
      </c>
      <c r="P1312" s="374" t="s">
        <v>754</v>
      </c>
    </row>
    <row r="1313" spans="1:16" ht="12.75">
      <c r="A1313">
        <v>1306</v>
      </c>
      <c r="B1313" s="557">
        <v>14081</v>
      </c>
      <c r="C1313" t="s">
        <v>5670</v>
      </c>
      <c r="D1313" s="107" t="s">
        <v>2522</v>
      </c>
      <c r="E1313">
        <v>1</v>
      </c>
      <c r="F1313" s="556">
        <v>2</v>
      </c>
      <c r="G1313" s="541">
        <v>2100</v>
      </c>
      <c r="H1313" s="560">
        <v>0</v>
      </c>
      <c r="I1313" s="107">
        <v>1</v>
      </c>
      <c r="K1313" s="370">
        <v>8150</v>
      </c>
      <c r="L1313" s="371" t="s">
        <v>2957</v>
      </c>
      <c r="M1313" s="372" t="s">
        <v>2720</v>
      </c>
      <c r="N1313" s="373" t="s">
        <v>2958</v>
      </c>
      <c r="O1313" s="374" t="s">
        <v>2957</v>
      </c>
      <c r="P1313" s="374" t="s">
        <v>2722</v>
      </c>
    </row>
    <row r="1314" spans="1:16" ht="12.75">
      <c r="A1314">
        <v>1307</v>
      </c>
      <c r="B1314" s="557">
        <v>6589</v>
      </c>
      <c r="C1314" t="s">
        <v>5671</v>
      </c>
      <c r="D1314" s="107" t="s">
        <v>2522</v>
      </c>
      <c r="E1314">
        <v>41</v>
      </c>
      <c r="F1314" s="556">
        <v>2</v>
      </c>
      <c r="G1314" s="541">
        <v>50</v>
      </c>
      <c r="H1314" s="560">
        <v>0</v>
      </c>
      <c r="I1314" s="107">
        <v>1</v>
      </c>
      <c r="K1314" s="370">
        <v>8151</v>
      </c>
      <c r="L1314" s="371" t="s">
        <v>2959</v>
      </c>
      <c r="M1314" s="372" t="s">
        <v>2720</v>
      </c>
      <c r="N1314" s="373" t="s">
        <v>2960</v>
      </c>
      <c r="O1314" s="374" t="s">
        <v>2959</v>
      </c>
      <c r="P1314" s="374" t="s">
        <v>2722</v>
      </c>
    </row>
    <row r="1315" spans="1:14" ht="12.75">
      <c r="A1315">
        <v>1308</v>
      </c>
      <c r="B1315" s="557" t="s">
        <v>5672</v>
      </c>
      <c r="C1315" t="s">
        <v>5673</v>
      </c>
      <c r="D1315" s="107" t="s">
        <v>2522</v>
      </c>
      <c r="E1315">
        <v>2</v>
      </c>
      <c r="F1315" s="556">
        <v>2</v>
      </c>
      <c r="G1315" s="541">
        <v>1000</v>
      </c>
      <c r="H1315" s="560">
        <v>0</v>
      </c>
      <c r="I1315" s="107">
        <v>1</v>
      </c>
      <c r="K1315" s="370">
        <v>8160</v>
      </c>
      <c r="L1315" s="371" t="s">
        <v>2961</v>
      </c>
      <c r="M1315" s="372" t="s">
        <v>2819</v>
      </c>
      <c r="N1315" s="373"/>
    </row>
    <row r="1316" spans="1:14" ht="12.75">
      <c r="A1316">
        <v>1309</v>
      </c>
      <c r="B1316" s="557" t="s">
        <v>5674</v>
      </c>
      <c r="C1316" t="s">
        <v>5675</v>
      </c>
      <c r="D1316" s="107" t="s">
        <v>2522</v>
      </c>
      <c r="E1316">
        <v>1</v>
      </c>
      <c r="F1316" s="556">
        <v>2</v>
      </c>
      <c r="G1316" s="541">
        <v>2000</v>
      </c>
      <c r="H1316" s="560">
        <v>0</v>
      </c>
      <c r="I1316" s="107">
        <v>1</v>
      </c>
      <c r="K1316" s="370">
        <v>8170</v>
      </c>
      <c r="L1316" s="371" t="s">
        <v>2962</v>
      </c>
      <c r="M1316" s="372" t="s">
        <v>2819</v>
      </c>
      <c r="N1316" s="373"/>
    </row>
    <row r="1317" spans="1:16" ht="12.75">
      <c r="A1317">
        <v>1310</v>
      </c>
      <c r="B1317" s="557">
        <v>40004</v>
      </c>
      <c r="C1317" t="s">
        <v>5676</v>
      </c>
      <c r="D1317" s="107" t="s">
        <v>2522</v>
      </c>
      <c r="E1317">
        <v>39</v>
      </c>
      <c r="F1317" s="556">
        <v>2</v>
      </c>
      <c r="G1317" s="541">
        <v>50</v>
      </c>
      <c r="H1317" s="560">
        <v>0</v>
      </c>
      <c r="I1317" s="107">
        <v>1</v>
      </c>
      <c r="K1317" s="370">
        <v>8191</v>
      </c>
      <c r="L1317" s="371" t="s">
        <v>2963</v>
      </c>
      <c r="M1317" s="372" t="s">
        <v>751</v>
      </c>
      <c r="N1317" s="373" t="s">
        <v>2964</v>
      </c>
      <c r="O1317" s="374" t="s">
        <v>2963</v>
      </c>
      <c r="P1317" s="374" t="s">
        <v>754</v>
      </c>
    </row>
    <row r="1318" spans="1:16" ht="12.75">
      <c r="A1318">
        <v>1311</v>
      </c>
      <c r="B1318" s="557">
        <v>14084</v>
      </c>
      <c r="C1318" t="s">
        <v>5677</v>
      </c>
      <c r="D1318" s="107" t="s">
        <v>2522</v>
      </c>
      <c r="E1318">
        <v>1</v>
      </c>
      <c r="F1318" s="556">
        <v>2</v>
      </c>
      <c r="G1318" s="541">
        <v>1800</v>
      </c>
      <c r="H1318" s="560">
        <v>0</v>
      </c>
      <c r="I1318" s="107">
        <v>1</v>
      </c>
      <c r="K1318" s="370">
        <v>8192</v>
      </c>
      <c r="L1318" s="371" t="s">
        <v>2965</v>
      </c>
      <c r="M1318" s="372" t="s">
        <v>3173</v>
      </c>
      <c r="N1318" s="373" t="s">
        <v>2966</v>
      </c>
      <c r="O1318" s="374" t="s">
        <v>2965</v>
      </c>
      <c r="P1318" s="374" t="s">
        <v>3175</v>
      </c>
    </row>
    <row r="1319" spans="1:16" ht="12.75">
      <c r="A1319">
        <v>1312</v>
      </c>
      <c r="B1319" s="557">
        <v>14149</v>
      </c>
      <c r="C1319" t="s">
        <v>5678</v>
      </c>
      <c r="D1319" s="107" t="s">
        <v>2522</v>
      </c>
      <c r="E1319">
        <v>1</v>
      </c>
      <c r="F1319" s="556">
        <v>2</v>
      </c>
      <c r="G1319" s="541">
        <v>1800</v>
      </c>
      <c r="H1319" s="560">
        <v>0</v>
      </c>
      <c r="I1319" s="107">
        <v>1</v>
      </c>
      <c r="K1319" s="370">
        <v>8232</v>
      </c>
      <c r="L1319" s="371" t="s">
        <v>2967</v>
      </c>
      <c r="M1319" s="372" t="s">
        <v>751</v>
      </c>
      <c r="N1319" s="373" t="s">
        <v>2968</v>
      </c>
      <c r="O1319" s="374" t="s">
        <v>2967</v>
      </c>
      <c r="P1319" s="374" t="s">
        <v>754</v>
      </c>
    </row>
    <row r="1320" spans="1:16" ht="12.75">
      <c r="A1320">
        <v>1313</v>
      </c>
      <c r="B1320" s="557">
        <v>1630</v>
      </c>
      <c r="C1320" t="s">
        <v>5679</v>
      </c>
      <c r="D1320" s="107" t="s">
        <v>2522</v>
      </c>
      <c r="E1320">
        <v>1</v>
      </c>
      <c r="F1320" s="556">
        <v>2</v>
      </c>
      <c r="G1320" s="541">
        <v>1760</v>
      </c>
      <c r="H1320" s="560">
        <v>0</v>
      </c>
      <c r="I1320" s="107">
        <v>1</v>
      </c>
      <c r="K1320" s="370">
        <v>8255</v>
      </c>
      <c r="L1320" s="371" t="s">
        <v>2969</v>
      </c>
      <c r="M1320" s="372" t="s">
        <v>751</v>
      </c>
      <c r="N1320" s="373" t="s">
        <v>2970</v>
      </c>
      <c r="O1320" s="374" t="s">
        <v>2969</v>
      </c>
      <c r="P1320" s="374" t="s">
        <v>754</v>
      </c>
    </row>
    <row r="1321" spans="1:16" ht="12.75">
      <c r="A1321">
        <v>1314</v>
      </c>
      <c r="B1321" s="557" t="s">
        <v>4318</v>
      </c>
      <c r="C1321" t="s">
        <v>4319</v>
      </c>
      <c r="D1321" s="107" t="s">
        <v>2522</v>
      </c>
      <c r="E1321">
        <v>1</v>
      </c>
      <c r="F1321" s="556">
        <v>2</v>
      </c>
      <c r="G1321" s="541">
        <v>1675</v>
      </c>
      <c r="H1321" s="560">
        <v>0</v>
      </c>
      <c r="I1321" s="107">
        <v>1</v>
      </c>
      <c r="K1321" s="370">
        <v>8256</v>
      </c>
      <c r="L1321" s="371" t="s">
        <v>147</v>
      </c>
      <c r="M1321" s="372" t="s">
        <v>751</v>
      </c>
      <c r="N1321" s="373" t="s">
        <v>148</v>
      </c>
      <c r="O1321" s="374" t="s">
        <v>147</v>
      </c>
      <c r="P1321" s="374" t="s">
        <v>754</v>
      </c>
    </row>
    <row r="1322" spans="1:16" ht="12.75">
      <c r="A1322">
        <v>1315</v>
      </c>
      <c r="B1322" s="557">
        <v>6403</v>
      </c>
      <c r="C1322" t="s">
        <v>5680</v>
      </c>
      <c r="D1322" s="107" t="s">
        <v>2522</v>
      </c>
      <c r="E1322">
        <v>32</v>
      </c>
      <c r="F1322" s="556">
        <v>2</v>
      </c>
      <c r="G1322" s="541">
        <v>51.56</v>
      </c>
      <c r="H1322" s="560">
        <v>0</v>
      </c>
      <c r="I1322" s="107">
        <v>2</v>
      </c>
      <c r="K1322" s="370">
        <v>8257</v>
      </c>
      <c r="L1322" s="371" t="s">
        <v>149</v>
      </c>
      <c r="M1322" s="372" t="s">
        <v>751</v>
      </c>
      <c r="N1322" s="373" t="s">
        <v>150</v>
      </c>
      <c r="O1322" s="374" t="s">
        <v>149</v>
      </c>
      <c r="P1322" s="374" t="s">
        <v>754</v>
      </c>
    </row>
    <row r="1323" spans="1:14" ht="12.75">
      <c r="A1323">
        <v>1316</v>
      </c>
      <c r="B1323" s="557">
        <v>4873</v>
      </c>
      <c r="C1323" t="s">
        <v>5681</v>
      </c>
      <c r="D1323" s="107" t="s">
        <v>2522</v>
      </c>
      <c r="E1323">
        <v>2</v>
      </c>
      <c r="F1323" s="556">
        <v>2</v>
      </c>
      <c r="G1323" s="541">
        <v>812.42</v>
      </c>
      <c r="H1323" s="560">
        <v>0</v>
      </c>
      <c r="I1323" s="107">
        <v>1</v>
      </c>
      <c r="K1323" s="370">
        <v>8266</v>
      </c>
      <c r="L1323" s="371" t="s">
        <v>151</v>
      </c>
      <c r="M1323" s="372" t="s">
        <v>2819</v>
      </c>
      <c r="N1323" s="373"/>
    </row>
    <row r="1324" spans="1:14" ht="12.75">
      <c r="A1324">
        <v>1317</v>
      </c>
      <c r="B1324" s="557" t="s">
        <v>5682</v>
      </c>
      <c r="C1324" t="s">
        <v>5683</v>
      </c>
      <c r="D1324" s="107" t="s">
        <v>2439</v>
      </c>
      <c r="E1324">
        <v>32</v>
      </c>
      <c r="F1324" s="556">
        <v>2</v>
      </c>
      <c r="G1324" s="541">
        <v>48.38</v>
      </c>
      <c r="H1324" s="560">
        <v>0</v>
      </c>
      <c r="I1324" s="107">
        <v>2</v>
      </c>
      <c r="K1324" s="370">
        <v>8267</v>
      </c>
      <c r="L1324" s="371" t="s">
        <v>152</v>
      </c>
      <c r="M1324" s="372" t="s">
        <v>2819</v>
      </c>
      <c r="N1324" s="373"/>
    </row>
    <row r="1325" spans="1:14" ht="12.75">
      <c r="A1325">
        <v>1318</v>
      </c>
      <c r="B1325" s="557">
        <v>2157</v>
      </c>
      <c r="C1325" t="s">
        <v>5684</v>
      </c>
      <c r="D1325" s="107" t="s">
        <v>1772</v>
      </c>
      <c r="E1325">
        <v>3</v>
      </c>
      <c r="F1325" s="556">
        <v>2</v>
      </c>
      <c r="G1325" s="541">
        <v>500</v>
      </c>
      <c r="H1325" s="560">
        <v>0</v>
      </c>
      <c r="I1325" s="107">
        <v>1</v>
      </c>
      <c r="K1325" s="370">
        <v>8268</v>
      </c>
      <c r="L1325" s="371" t="s">
        <v>153</v>
      </c>
      <c r="M1325" s="372" t="s">
        <v>2819</v>
      </c>
      <c r="N1325" s="373"/>
    </row>
    <row r="1326" spans="1:14" ht="12.75">
      <c r="A1326">
        <v>1319</v>
      </c>
      <c r="B1326" s="557">
        <v>16059</v>
      </c>
      <c r="C1326" t="s">
        <v>5685</v>
      </c>
      <c r="D1326" s="107" t="s">
        <v>2522</v>
      </c>
      <c r="E1326">
        <v>1</v>
      </c>
      <c r="F1326" s="556">
        <v>2</v>
      </c>
      <c r="G1326" s="541">
        <v>1500</v>
      </c>
      <c r="H1326" s="560">
        <v>0</v>
      </c>
      <c r="I1326" s="107">
        <v>1</v>
      </c>
      <c r="K1326" s="370">
        <v>8269</v>
      </c>
      <c r="L1326" s="371" t="s">
        <v>154</v>
      </c>
      <c r="M1326" s="372" t="s">
        <v>2819</v>
      </c>
      <c r="N1326" s="373"/>
    </row>
    <row r="1327" spans="1:14" ht="12.75">
      <c r="A1327">
        <v>1320</v>
      </c>
      <c r="B1327" s="557">
        <v>16111</v>
      </c>
      <c r="C1327" t="s">
        <v>5686</v>
      </c>
      <c r="D1327" s="107" t="s">
        <v>2522</v>
      </c>
      <c r="E1327">
        <v>3</v>
      </c>
      <c r="F1327" s="556">
        <v>2</v>
      </c>
      <c r="G1327" s="541">
        <v>500</v>
      </c>
      <c r="H1327" s="560">
        <v>0</v>
      </c>
      <c r="I1327" s="107">
        <v>1</v>
      </c>
      <c r="K1327" s="370">
        <v>8270</v>
      </c>
      <c r="L1327" s="371" t="s">
        <v>155</v>
      </c>
      <c r="M1327" s="372" t="s">
        <v>2819</v>
      </c>
      <c r="N1327" s="373"/>
    </row>
    <row r="1328" spans="1:14" ht="12.75">
      <c r="A1328">
        <v>1321</v>
      </c>
      <c r="B1328" s="557" t="s">
        <v>5687</v>
      </c>
      <c r="C1328" t="s">
        <v>5688</v>
      </c>
      <c r="D1328" s="107" t="s">
        <v>2522</v>
      </c>
      <c r="E1328">
        <v>3</v>
      </c>
      <c r="F1328" s="556">
        <v>2</v>
      </c>
      <c r="G1328" s="541">
        <v>500</v>
      </c>
      <c r="H1328" s="560">
        <v>0</v>
      </c>
      <c r="I1328" s="107">
        <v>1</v>
      </c>
      <c r="K1328" s="370">
        <v>8301</v>
      </c>
      <c r="L1328" s="371" t="s">
        <v>156</v>
      </c>
      <c r="M1328" s="372" t="s">
        <v>2819</v>
      </c>
      <c r="N1328" s="373"/>
    </row>
    <row r="1329" spans="1:14" ht="12.75">
      <c r="A1329">
        <v>1322</v>
      </c>
      <c r="B1329" s="557" t="s">
        <v>4148</v>
      </c>
      <c r="C1329" t="s">
        <v>4149</v>
      </c>
      <c r="D1329" s="107" t="s">
        <v>2522</v>
      </c>
      <c r="E1329">
        <v>1</v>
      </c>
      <c r="F1329" s="556">
        <v>2</v>
      </c>
      <c r="G1329" s="541">
        <v>1500</v>
      </c>
      <c r="H1329" s="560">
        <v>0</v>
      </c>
      <c r="I1329" s="107">
        <v>1</v>
      </c>
      <c r="K1329" s="370">
        <v>8305</v>
      </c>
      <c r="L1329" s="371" t="s">
        <v>157</v>
      </c>
      <c r="M1329" s="372" t="s">
        <v>2819</v>
      </c>
      <c r="N1329" s="373"/>
    </row>
    <row r="1330" spans="1:14" ht="12.75">
      <c r="A1330">
        <v>1323</v>
      </c>
      <c r="B1330" s="557" t="s">
        <v>5689</v>
      </c>
      <c r="C1330" t="s">
        <v>5690</v>
      </c>
      <c r="D1330" s="107" t="s">
        <v>2439</v>
      </c>
      <c r="E1330">
        <v>50</v>
      </c>
      <c r="F1330" s="556">
        <v>2</v>
      </c>
      <c r="G1330" s="541">
        <v>30</v>
      </c>
      <c r="H1330" s="560">
        <v>0</v>
      </c>
      <c r="I1330" s="107">
        <v>1</v>
      </c>
      <c r="K1330" s="370">
        <v>8307</v>
      </c>
      <c r="L1330" s="371" t="s">
        <v>158</v>
      </c>
      <c r="M1330" s="372" t="s">
        <v>2819</v>
      </c>
      <c r="N1330" s="373"/>
    </row>
    <row r="1331" spans="1:16" ht="12.75">
      <c r="A1331">
        <v>1324</v>
      </c>
      <c r="B1331" s="557">
        <v>223</v>
      </c>
      <c r="C1331" t="s">
        <v>5691</v>
      </c>
      <c r="D1331" s="107" t="s">
        <v>1771</v>
      </c>
      <c r="E1331">
        <v>11</v>
      </c>
      <c r="F1331" s="556">
        <v>1</v>
      </c>
      <c r="G1331" s="541">
        <v>133.09</v>
      </c>
      <c r="H1331" s="560">
        <v>0</v>
      </c>
      <c r="I1331" s="107">
        <v>1</v>
      </c>
      <c r="K1331" s="370">
        <v>8401</v>
      </c>
      <c r="L1331" s="371" t="s">
        <v>159</v>
      </c>
      <c r="M1331" s="372" t="s">
        <v>3164</v>
      </c>
      <c r="N1331" s="373" t="s">
        <v>160</v>
      </c>
      <c r="O1331" s="374" t="s">
        <v>159</v>
      </c>
      <c r="P1331" s="374" t="s">
        <v>3166</v>
      </c>
    </row>
    <row r="1332" spans="1:16" ht="12.75">
      <c r="A1332">
        <v>1325</v>
      </c>
      <c r="B1332" s="557" t="s">
        <v>5692</v>
      </c>
      <c r="C1332" t="s">
        <v>5693</v>
      </c>
      <c r="D1332" s="107" t="s">
        <v>2439</v>
      </c>
      <c r="E1332">
        <v>82</v>
      </c>
      <c r="F1332" s="556">
        <v>1</v>
      </c>
      <c r="G1332" s="541">
        <v>17.74</v>
      </c>
      <c r="H1332" s="560">
        <v>0</v>
      </c>
      <c r="I1332" s="107">
        <v>2</v>
      </c>
      <c r="K1332" s="370">
        <v>8404</v>
      </c>
      <c r="L1332" s="371" t="s">
        <v>161</v>
      </c>
      <c r="M1332" s="372" t="s">
        <v>974</v>
      </c>
      <c r="N1332" s="373" t="s">
        <v>162</v>
      </c>
      <c r="O1332" s="374" t="s">
        <v>161</v>
      </c>
      <c r="P1332" s="374" t="s">
        <v>3175</v>
      </c>
    </row>
    <row r="1333" spans="1:16" s="381" customFormat="1" ht="12.75">
      <c r="A1333">
        <v>1326</v>
      </c>
      <c r="B1333" s="557">
        <v>6591</v>
      </c>
      <c r="C1333" t="s">
        <v>5694</v>
      </c>
      <c r="D1333" s="107" t="s">
        <v>2522</v>
      </c>
      <c r="E1333">
        <v>29</v>
      </c>
      <c r="F1333" s="556">
        <v>1</v>
      </c>
      <c r="G1333" s="541">
        <v>50</v>
      </c>
      <c r="H1333" s="560">
        <v>0</v>
      </c>
      <c r="I1333" s="107">
        <v>1</v>
      </c>
      <c r="K1333" s="376">
        <v>8405</v>
      </c>
      <c r="L1333" s="377" t="s">
        <v>163</v>
      </c>
      <c r="M1333" s="378"/>
      <c r="N1333" s="379" t="s">
        <v>164</v>
      </c>
      <c r="O1333" s="380" t="s">
        <v>163</v>
      </c>
      <c r="P1333" s="380" t="s">
        <v>3175</v>
      </c>
    </row>
    <row r="1334" spans="1:16" ht="12.75">
      <c r="A1334">
        <v>1327</v>
      </c>
      <c r="B1334" s="557">
        <v>6577</v>
      </c>
      <c r="C1334" t="s">
        <v>5695</v>
      </c>
      <c r="D1334" s="107" t="s">
        <v>2522</v>
      </c>
      <c r="E1334">
        <v>2</v>
      </c>
      <c r="F1334" s="556">
        <v>1</v>
      </c>
      <c r="G1334" s="541">
        <v>700</v>
      </c>
      <c r="H1334" s="560">
        <v>0</v>
      </c>
      <c r="I1334" s="107">
        <v>1</v>
      </c>
      <c r="K1334" s="370">
        <v>8406</v>
      </c>
      <c r="L1334" s="371" t="s">
        <v>165</v>
      </c>
      <c r="M1334" s="372" t="s">
        <v>974</v>
      </c>
      <c r="N1334" s="373" t="s">
        <v>166</v>
      </c>
      <c r="O1334" s="374" t="s">
        <v>167</v>
      </c>
      <c r="P1334" s="374" t="s">
        <v>3175</v>
      </c>
    </row>
    <row r="1335" spans="1:14" ht="12.75">
      <c r="A1335">
        <v>1328</v>
      </c>
      <c r="B1335" s="557">
        <v>40007</v>
      </c>
      <c r="C1335" t="s">
        <v>5696</v>
      </c>
      <c r="D1335" s="107" t="s">
        <v>2522</v>
      </c>
      <c r="E1335">
        <v>4</v>
      </c>
      <c r="F1335" s="556">
        <v>1</v>
      </c>
      <c r="G1335" s="541">
        <v>350</v>
      </c>
      <c r="H1335" s="560">
        <v>0</v>
      </c>
      <c r="I1335" s="107">
        <v>1</v>
      </c>
      <c r="K1335" s="370">
        <v>8410</v>
      </c>
      <c r="L1335" s="371" t="s">
        <v>168</v>
      </c>
      <c r="M1335" s="372" t="s">
        <v>2819</v>
      </c>
      <c r="N1335" s="373"/>
    </row>
    <row r="1336" spans="1:14" ht="12.75">
      <c r="A1336">
        <v>1329</v>
      </c>
      <c r="B1336" s="557">
        <v>2478</v>
      </c>
      <c r="C1336" t="s">
        <v>5697</v>
      </c>
      <c r="D1336" s="107" t="s">
        <v>1772</v>
      </c>
      <c r="E1336">
        <v>2</v>
      </c>
      <c r="F1336" s="556">
        <v>1</v>
      </c>
      <c r="G1336" s="541">
        <v>675.83</v>
      </c>
      <c r="H1336" s="560">
        <v>0</v>
      </c>
      <c r="I1336" s="107">
        <v>1</v>
      </c>
      <c r="K1336" s="370">
        <v>8420</v>
      </c>
      <c r="L1336" s="371" t="s">
        <v>169</v>
      </c>
      <c r="M1336" s="372" t="s">
        <v>170</v>
      </c>
      <c r="N1336" s="373"/>
    </row>
    <row r="1337" spans="1:14" ht="12.75">
      <c r="A1337">
        <v>1330</v>
      </c>
      <c r="B1337" s="557" t="s">
        <v>5698</v>
      </c>
      <c r="C1337" t="s">
        <v>5699</v>
      </c>
      <c r="D1337" s="107" t="s">
        <v>2522</v>
      </c>
      <c r="E1337">
        <v>4</v>
      </c>
      <c r="F1337" s="556">
        <v>1</v>
      </c>
      <c r="G1337" s="541">
        <v>335</v>
      </c>
      <c r="H1337" s="560">
        <v>0</v>
      </c>
      <c r="I1337" s="107">
        <v>1</v>
      </c>
      <c r="K1337" s="370">
        <v>8434</v>
      </c>
      <c r="L1337" s="371" t="s">
        <v>171</v>
      </c>
      <c r="M1337" s="372" t="s">
        <v>2819</v>
      </c>
      <c r="N1337" s="373"/>
    </row>
    <row r="1338" spans="1:14" ht="12.75">
      <c r="A1338">
        <v>1331</v>
      </c>
      <c r="B1338" s="557" t="s">
        <v>4120</v>
      </c>
      <c r="C1338" t="s">
        <v>5700</v>
      </c>
      <c r="D1338" s="107" t="s">
        <v>2522</v>
      </c>
      <c r="E1338">
        <v>31</v>
      </c>
      <c r="F1338" s="556">
        <v>1</v>
      </c>
      <c r="G1338" s="541">
        <v>41.29</v>
      </c>
      <c r="H1338" s="560">
        <v>0</v>
      </c>
      <c r="I1338" s="107">
        <v>3</v>
      </c>
      <c r="K1338" s="370">
        <v>8435</v>
      </c>
      <c r="L1338" s="371" t="s">
        <v>939</v>
      </c>
      <c r="M1338" s="372" t="s">
        <v>2819</v>
      </c>
      <c r="N1338" s="373"/>
    </row>
    <row r="1339" spans="1:16" ht="12.75">
      <c r="A1339">
        <v>1332</v>
      </c>
      <c r="B1339" s="557" t="s">
        <v>5701</v>
      </c>
      <c r="C1339" t="s">
        <v>5031</v>
      </c>
      <c r="D1339" s="107" t="s">
        <v>2439</v>
      </c>
      <c r="E1339">
        <v>64</v>
      </c>
      <c r="F1339" s="556">
        <v>1</v>
      </c>
      <c r="G1339" s="541">
        <v>20</v>
      </c>
      <c r="H1339" s="560">
        <v>0</v>
      </c>
      <c r="I1339" s="107">
        <v>1</v>
      </c>
      <c r="K1339" s="370">
        <v>8469</v>
      </c>
      <c r="L1339" s="371" t="s">
        <v>172</v>
      </c>
      <c r="M1339" s="372" t="s">
        <v>751</v>
      </c>
      <c r="N1339" s="373" t="s">
        <v>173</v>
      </c>
      <c r="O1339" s="374" t="s">
        <v>174</v>
      </c>
      <c r="P1339" s="374" t="s">
        <v>754</v>
      </c>
    </row>
    <row r="1340" spans="1:16" ht="12.75">
      <c r="A1340">
        <v>1333</v>
      </c>
      <c r="B1340" s="557">
        <v>16057</v>
      </c>
      <c r="C1340" t="s">
        <v>5702</v>
      </c>
      <c r="D1340" s="107" t="s">
        <v>2522</v>
      </c>
      <c r="E1340">
        <v>1</v>
      </c>
      <c r="F1340" s="556">
        <v>1</v>
      </c>
      <c r="G1340" s="541">
        <v>1200</v>
      </c>
      <c r="H1340" s="560">
        <v>0</v>
      </c>
      <c r="I1340" s="107">
        <v>1</v>
      </c>
      <c r="K1340" s="370">
        <v>8470</v>
      </c>
      <c r="L1340" s="371" t="s">
        <v>175</v>
      </c>
      <c r="M1340" s="372" t="s">
        <v>751</v>
      </c>
      <c r="N1340" s="373" t="s">
        <v>176</v>
      </c>
      <c r="O1340" s="374" t="s">
        <v>1004</v>
      </c>
      <c r="P1340" s="374" t="s">
        <v>754</v>
      </c>
    </row>
    <row r="1341" spans="1:16" ht="12.75">
      <c r="A1341">
        <v>1334</v>
      </c>
      <c r="B1341" s="557" t="s">
        <v>4189</v>
      </c>
      <c r="C1341" t="s">
        <v>4190</v>
      </c>
      <c r="D1341" s="107" t="s">
        <v>2522</v>
      </c>
      <c r="E1341">
        <v>1</v>
      </c>
      <c r="F1341" s="556">
        <v>1</v>
      </c>
      <c r="G1341" s="541">
        <v>1200</v>
      </c>
      <c r="H1341" s="560">
        <v>0</v>
      </c>
      <c r="I1341" s="107">
        <v>1</v>
      </c>
      <c r="K1341" s="370">
        <v>8471</v>
      </c>
      <c r="L1341" s="371" t="s">
        <v>1005</v>
      </c>
      <c r="M1341" s="372" t="s">
        <v>751</v>
      </c>
      <c r="N1341" s="373" t="s">
        <v>1006</v>
      </c>
      <c r="O1341" s="374" t="s">
        <v>1007</v>
      </c>
      <c r="P1341" s="374" t="s">
        <v>754</v>
      </c>
    </row>
    <row r="1342" spans="1:16" ht="12.75">
      <c r="A1342">
        <v>1335</v>
      </c>
      <c r="B1342" s="557">
        <v>2395</v>
      </c>
      <c r="C1342" t="s">
        <v>5703</v>
      </c>
      <c r="D1342" s="107" t="s">
        <v>2522</v>
      </c>
      <c r="E1342">
        <v>53</v>
      </c>
      <c r="F1342" s="556">
        <v>1</v>
      </c>
      <c r="G1342" s="541">
        <v>22.55</v>
      </c>
      <c r="H1342" s="560">
        <v>0</v>
      </c>
      <c r="I1342" s="107">
        <v>4</v>
      </c>
      <c r="K1342" s="370">
        <v>8472</v>
      </c>
      <c r="L1342" s="371" t="s">
        <v>1008</v>
      </c>
      <c r="M1342" s="372" t="s">
        <v>751</v>
      </c>
      <c r="N1342" s="373" t="s">
        <v>1009</v>
      </c>
      <c r="O1342" s="374" t="s">
        <v>1010</v>
      </c>
      <c r="P1342" s="374" t="s">
        <v>754</v>
      </c>
    </row>
    <row r="1343" spans="1:16" ht="12.75">
      <c r="A1343">
        <v>1336</v>
      </c>
      <c r="B1343" s="557">
        <v>4903</v>
      </c>
      <c r="C1343" t="s">
        <v>5704</v>
      </c>
      <c r="D1343" s="107" t="s">
        <v>2522</v>
      </c>
      <c r="E1343">
        <v>4</v>
      </c>
      <c r="F1343" s="556">
        <v>1</v>
      </c>
      <c r="G1343" s="541">
        <v>297.65</v>
      </c>
      <c r="H1343" s="560">
        <v>0</v>
      </c>
      <c r="I1343" s="107">
        <v>1</v>
      </c>
      <c r="K1343" s="370">
        <v>8475</v>
      </c>
      <c r="L1343" s="371" t="s">
        <v>1011</v>
      </c>
      <c r="M1343" s="372" t="s">
        <v>751</v>
      </c>
      <c r="N1343" s="373" t="s">
        <v>3280</v>
      </c>
      <c r="O1343" s="374" t="s">
        <v>3281</v>
      </c>
      <c r="P1343" s="374" t="s">
        <v>754</v>
      </c>
    </row>
    <row r="1344" spans="1:16" ht="12.75">
      <c r="A1344">
        <v>1337</v>
      </c>
      <c r="B1344" s="557">
        <v>1655</v>
      </c>
      <c r="C1344" t="s">
        <v>5705</v>
      </c>
      <c r="D1344" s="107" t="s">
        <v>2522</v>
      </c>
      <c r="E1344">
        <v>1</v>
      </c>
      <c r="F1344" s="556">
        <v>1</v>
      </c>
      <c r="G1344" s="541">
        <v>1159.88</v>
      </c>
      <c r="H1344" s="560">
        <v>0</v>
      </c>
      <c r="I1344" s="107">
        <v>1</v>
      </c>
      <c r="K1344" s="370">
        <v>8500</v>
      </c>
      <c r="L1344" s="371" t="s">
        <v>3282</v>
      </c>
      <c r="M1344" s="372" t="s">
        <v>3173</v>
      </c>
      <c r="N1344" s="373" t="s">
        <v>3283</v>
      </c>
      <c r="O1344" s="374" t="s">
        <v>3282</v>
      </c>
      <c r="P1344" s="374" t="s">
        <v>3175</v>
      </c>
    </row>
    <row r="1345" spans="1:16" ht="12.75">
      <c r="A1345">
        <v>1338</v>
      </c>
      <c r="B1345" s="557" t="s">
        <v>4221</v>
      </c>
      <c r="C1345" t="s">
        <v>5706</v>
      </c>
      <c r="D1345" s="107" t="s">
        <v>2439</v>
      </c>
      <c r="E1345">
        <v>156</v>
      </c>
      <c r="F1345" s="556">
        <v>1</v>
      </c>
      <c r="G1345" s="541">
        <v>7</v>
      </c>
      <c r="H1345" s="560">
        <v>0</v>
      </c>
      <c r="I1345" s="107">
        <v>1</v>
      </c>
      <c r="K1345" s="370">
        <v>8504</v>
      </c>
      <c r="L1345" s="371" t="s">
        <v>3284</v>
      </c>
      <c r="M1345" s="372" t="s">
        <v>3173</v>
      </c>
      <c r="N1345" s="373" t="s">
        <v>3285</v>
      </c>
      <c r="O1345" s="374" t="s">
        <v>3284</v>
      </c>
      <c r="P1345" s="374" t="s">
        <v>3175</v>
      </c>
    </row>
    <row r="1346" spans="1:16" ht="12.75">
      <c r="A1346">
        <v>1339</v>
      </c>
      <c r="B1346" s="557" t="s">
        <v>5707</v>
      </c>
      <c r="C1346" t="s">
        <v>5708</v>
      </c>
      <c r="D1346" s="107" t="s">
        <v>2522</v>
      </c>
      <c r="E1346">
        <v>6</v>
      </c>
      <c r="F1346" s="556">
        <v>1</v>
      </c>
      <c r="G1346" s="541">
        <v>175</v>
      </c>
      <c r="H1346" s="560">
        <v>0</v>
      </c>
      <c r="I1346" s="107">
        <v>1</v>
      </c>
      <c r="K1346" s="370">
        <v>8510</v>
      </c>
      <c r="L1346" s="371" t="s">
        <v>3286</v>
      </c>
      <c r="M1346" s="372" t="s">
        <v>3173</v>
      </c>
      <c r="N1346" s="373" t="s">
        <v>3287</v>
      </c>
      <c r="O1346" s="374" t="s">
        <v>3286</v>
      </c>
      <c r="P1346" s="374" t="s">
        <v>3175</v>
      </c>
    </row>
    <row r="1347" spans="1:16" ht="12.75">
      <c r="A1347">
        <v>1340</v>
      </c>
      <c r="B1347" s="557" t="s">
        <v>5709</v>
      </c>
      <c r="C1347" t="s">
        <v>5710</v>
      </c>
      <c r="D1347" s="107" t="s">
        <v>2522</v>
      </c>
      <c r="E1347">
        <v>19</v>
      </c>
      <c r="F1347" s="556">
        <v>1</v>
      </c>
      <c r="G1347" s="541">
        <v>53.75</v>
      </c>
      <c r="H1347" s="560">
        <v>0</v>
      </c>
      <c r="I1347" s="107">
        <v>1</v>
      </c>
      <c r="K1347" s="370">
        <v>8526</v>
      </c>
      <c r="L1347" s="371" t="s">
        <v>3288</v>
      </c>
      <c r="M1347" s="372" t="s">
        <v>3195</v>
      </c>
      <c r="N1347" s="373" t="s">
        <v>3289</v>
      </c>
      <c r="O1347" s="374" t="s">
        <v>3288</v>
      </c>
      <c r="P1347" s="374" t="s">
        <v>3197</v>
      </c>
    </row>
    <row r="1348" spans="1:16" ht="12.75">
      <c r="A1348">
        <v>1341</v>
      </c>
      <c r="B1348" s="557" t="s">
        <v>4276</v>
      </c>
      <c r="C1348" t="s">
        <v>5711</v>
      </c>
      <c r="D1348" s="107" t="s">
        <v>1772</v>
      </c>
      <c r="E1348">
        <v>32</v>
      </c>
      <c r="F1348" s="556">
        <v>1</v>
      </c>
      <c r="G1348" s="541">
        <v>29.22</v>
      </c>
      <c r="H1348" s="560">
        <v>0</v>
      </c>
      <c r="I1348" s="107">
        <v>1</v>
      </c>
      <c r="K1348" s="370">
        <v>8534</v>
      </c>
      <c r="L1348" s="371" t="s">
        <v>3290</v>
      </c>
      <c r="M1348" s="372" t="s">
        <v>3195</v>
      </c>
      <c r="N1348" s="373" t="s">
        <v>3291</v>
      </c>
      <c r="O1348" s="374" t="s">
        <v>3290</v>
      </c>
      <c r="P1348" s="374" t="s">
        <v>3197</v>
      </c>
    </row>
    <row r="1349" spans="1:16" ht="12.75">
      <c r="A1349">
        <v>1342</v>
      </c>
      <c r="B1349" s="557">
        <v>8134</v>
      </c>
      <c r="C1349" t="s">
        <v>5712</v>
      </c>
      <c r="D1349" s="107" t="s">
        <v>2522</v>
      </c>
      <c r="E1349">
        <v>10</v>
      </c>
      <c r="F1349" s="556">
        <v>1</v>
      </c>
      <c r="G1349" s="541">
        <v>90</v>
      </c>
      <c r="H1349" s="560">
        <v>0</v>
      </c>
      <c r="I1349" s="107">
        <v>1</v>
      </c>
      <c r="K1349" s="370">
        <v>8535</v>
      </c>
      <c r="L1349" s="371" t="s">
        <v>3292</v>
      </c>
      <c r="M1349" s="372" t="s">
        <v>3195</v>
      </c>
      <c r="N1349" s="373" t="s">
        <v>3293</v>
      </c>
      <c r="O1349" s="374" t="s">
        <v>3292</v>
      </c>
      <c r="P1349" s="374" t="s">
        <v>3197</v>
      </c>
    </row>
    <row r="1350" spans="1:16" ht="12.75">
      <c r="A1350">
        <v>1343</v>
      </c>
      <c r="B1350" s="559" t="s">
        <v>4288</v>
      </c>
      <c r="C1350" t="s">
        <v>5713</v>
      </c>
      <c r="D1350" t="s">
        <v>2522</v>
      </c>
      <c r="E1350" s="540">
        <v>3</v>
      </c>
      <c r="F1350" s="541">
        <v>1</v>
      </c>
      <c r="G1350" s="542">
        <v>300</v>
      </c>
      <c r="H1350" s="542">
        <v>0</v>
      </c>
      <c r="I1350">
        <v>1</v>
      </c>
      <c r="K1350" s="370">
        <v>8540</v>
      </c>
      <c r="L1350" s="371" t="s">
        <v>3294</v>
      </c>
      <c r="M1350" s="372" t="s">
        <v>751</v>
      </c>
      <c r="N1350" s="373" t="s">
        <v>3295</v>
      </c>
      <c r="O1350" s="374" t="s">
        <v>3294</v>
      </c>
      <c r="P1350" s="374" t="s">
        <v>754</v>
      </c>
    </row>
    <row r="1351" spans="1:16" ht="12.75">
      <c r="A1351">
        <v>1344</v>
      </c>
      <c r="B1351" s="559">
        <v>1030</v>
      </c>
      <c r="C1351" t="s">
        <v>5714</v>
      </c>
      <c r="D1351" t="s">
        <v>2522</v>
      </c>
      <c r="E1351" s="540">
        <v>1</v>
      </c>
      <c r="F1351" s="541">
        <v>1</v>
      </c>
      <c r="G1351" s="542">
        <v>887.78</v>
      </c>
      <c r="H1351" s="542">
        <v>0</v>
      </c>
      <c r="I1351">
        <v>1</v>
      </c>
      <c r="K1351" s="370">
        <v>8549</v>
      </c>
      <c r="L1351" s="371" t="s">
        <v>3296</v>
      </c>
      <c r="M1351" s="372" t="s">
        <v>3173</v>
      </c>
      <c r="N1351" s="373" t="s">
        <v>3297</v>
      </c>
      <c r="O1351" s="374" t="s">
        <v>3296</v>
      </c>
      <c r="P1351" s="374" t="s">
        <v>3175</v>
      </c>
    </row>
    <row r="1352" spans="1:16" ht="12.75">
      <c r="A1352">
        <v>1345</v>
      </c>
      <c r="B1352" s="559">
        <v>2204</v>
      </c>
      <c r="C1352" t="s">
        <v>5715</v>
      </c>
      <c r="D1352" t="s">
        <v>1773</v>
      </c>
      <c r="E1352" s="540">
        <v>10</v>
      </c>
      <c r="F1352" s="541">
        <v>1</v>
      </c>
      <c r="G1352" s="542">
        <v>88</v>
      </c>
      <c r="H1352" s="542">
        <v>0</v>
      </c>
      <c r="I1352">
        <v>1</v>
      </c>
      <c r="K1352" s="370">
        <v>8550</v>
      </c>
      <c r="L1352" s="371" t="s">
        <v>3298</v>
      </c>
      <c r="M1352" s="372" t="s">
        <v>3173</v>
      </c>
      <c r="N1352" s="373" t="s">
        <v>3299</v>
      </c>
      <c r="O1352" s="374" t="s">
        <v>3298</v>
      </c>
      <c r="P1352" s="374" t="s">
        <v>3175</v>
      </c>
    </row>
    <row r="1353" spans="1:16" ht="12.75">
      <c r="A1353">
        <v>1346</v>
      </c>
      <c r="B1353" s="559" t="s">
        <v>5716</v>
      </c>
      <c r="C1353" t="s">
        <v>5717</v>
      </c>
      <c r="D1353" t="s">
        <v>2439</v>
      </c>
      <c r="E1353" s="540">
        <v>110</v>
      </c>
      <c r="F1353" s="541">
        <v>1</v>
      </c>
      <c r="G1353" s="542">
        <v>8</v>
      </c>
      <c r="H1353" s="542">
        <v>0</v>
      </c>
      <c r="I1353">
        <v>1</v>
      </c>
      <c r="K1353" s="370">
        <v>8551</v>
      </c>
      <c r="L1353" s="371" t="s">
        <v>3300</v>
      </c>
      <c r="M1353" s="372" t="s">
        <v>3173</v>
      </c>
      <c r="N1353" s="373" t="s">
        <v>3301</v>
      </c>
      <c r="O1353" s="374" t="s">
        <v>3300</v>
      </c>
      <c r="P1353" s="374" t="s">
        <v>3175</v>
      </c>
    </row>
    <row r="1354" spans="1:16" ht="12.75">
      <c r="A1354">
        <v>1347</v>
      </c>
      <c r="B1354" s="559">
        <v>16515</v>
      </c>
      <c r="C1354" t="s">
        <v>5718</v>
      </c>
      <c r="D1354" t="s">
        <v>2439</v>
      </c>
      <c r="E1354" s="540">
        <v>21</v>
      </c>
      <c r="F1354" s="541">
        <v>1</v>
      </c>
      <c r="G1354" s="542">
        <v>40.78</v>
      </c>
      <c r="H1354" s="542">
        <v>0</v>
      </c>
      <c r="I1354">
        <v>1</v>
      </c>
      <c r="K1354" s="370">
        <v>8611</v>
      </c>
      <c r="L1354" s="371" t="s">
        <v>3302</v>
      </c>
      <c r="M1354" s="372" t="s">
        <v>751</v>
      </c>
      <c r="N1354" s="373" t="s">
        <v>3303</v>
      </c>
      <c r="O1354" s="374" t="s">
        <v>3304</v>
      </c>
      <c r="P1354" s="374" t="s">
        <v>754</v>
      </c>
    </row>
    <row r="1355" spans="1:16" ht="12.75">
      <c r="A1355">
        <v>1348</v>
      </c>
      <c r="B1355" s="539">
        <v>1706</v>
      </c>
      <c r="C1355" t="s">
        <v>5719</v>
      </c>
      <c r="D1355" t="s">
        <v>2522</v>
      </c>
      <c r="E1355" s="540">
        <v>1</v>
      </c>
      <c r="F1355" s="541">
        <v>1</v>
      </c>
      <c r="G1355" s="541">
        <v>850</v>
      </c>
      <c r="H1355" s="542">
        <v>0</v>
      </c>
      <c r="I1355">
        <v>1</v>
      </c>
      <c r="K1355" s="370">
        <v>8612</v>
      </c>
      <c r="L1355" s="371" t="s">
        <v>3305</v>
      </c>
      <c r="M1355" s="372" t="s">
        <v>751</v>
      </c>
      <c r="N1355" s="373" t="s">
        <v>3306</v>
      </c>
      <c r="O1355" s="374" t="s">
        <v>805</v>
      </c>
      <c r="P1355" s="374" t="s">
        <v>754</v>
      </c>
    </row>
    <row r="1356" spans="1:16" ht="12.75">
      <c r="A1356">
        <v>1349</v>
      </c>
      <c r="B1356" s="539">
        <v>1709</v>
      </c>
      <c r="C1356" t="s">
        <v>5720</v>
      </c>
      <c r="D1356" t="s">
        <v>2522</v>
      </c>
      <c r="E1356" s="540">
        <v>1</v>
      </c>
      <c r="F1356" s="541">
        <v>1</v>
      </c>
      <c r="G1356" s="541">
        <v>829.08</v>
      </c>
      <c r="H1356" s="542">
        <v>0</v>
      </c>
      <c r="I1356">
        <v>1</v>
      </c>
      <c r="K1356" s="370">
        <v>8613</v>
      </c>
      <c r="L1356" s="371" t="s">
        <v>806</v>
      </c>
      <c r="M1356" s="372" t="s">
        <v>751</v>
      </c>
      <c r="N1356" s="373" t="s">
        <v>807</v>
      </c>
      <c r="O1356" s="374" t="s">
        <v>808</v>
      </c>
      <c r="P1356" s="374" t="s">
        <v>754</v>
      </c>
    </row>
    <row r="1357" spans="1:16" ht="12.75">
      <c r="A1357">
        <v>1350</v>
      </c>
      <c r="B1357" s="539">
        <v>4871</v>
      </c>
      <c r="C1357" t="s">
        <v>5721</v>
      </c>
      <c r="D1357" t="s">
        <v>2522</v>
      </c>
      <c r="E1357" s="540">
        <v>1</v>
      </c>
      <c r="F1357" s="541">
        <v>1</v>
      </c>
      <c r="G1357" s="541">
        <v>800</v>
      </c>
      <c r="H1357" s="542">
        <v>0</v>
      </c>
      <c r="I1357">
        <v>1</v>
      </c>
      <c r="K1357" s="370">
        <v>8621</v>
      </c>
      <c r="L1357" s="371" t="s">
        <v>809</v>
      </c>
      <c r="M1357" s="372" t="s">
        <v>751</v>
      </c>
      <c r="N1357" s="373" t="s">
        <v>810</v>
      </c>
      <c r="O1357" s="374" t="s">
        <v>811</v>
      </c>
      <c r="P1357" s="374" t="s">
        <v>754</v>
      </c>
    </row>
    <row r="1358" spans="1:16" ht="12.75">
      <c r="A1358">
        <v>1351</v>
      </c>
      <c r="B1358" s="539" t="s">
        <v>4323</v>
      </c>
      <c r="C1358" t="s">
        <v>5722</v>
      </c>
      <c r="D1358" t="s">
        <v>1772</v>
      </c>
      <c r="E1358" s="540">
        <v>83</v>
      </c>
      <c r="F1358" s="541">
        <v>1</v>
      </c>
      <c r="G1358" s="541">
        <v>8.4</v>
      </c>
      <c r="H1358" s="542">
        <v>0</v>
      </c>
      <c r="I1358">
        <v>2</v>
      </c>
      <c r="K1358" s="370">
        <v>8622</v>
      </c>
      <c r="L1358" s="371" t="s">
        <v>812</v>
      </c>
      <c r="M1358" s="372" t="s">
        <v>751</v>
      </c>
      <c r="N1358" s="373" t="s">
        <v>813</v>
      </c>
      <c r="O1358" s="374" t="s">
        <v>814</v>
      </c>
      <c r="P1358" s="374" t="s">
        <v>754</v>
      </c>
    </row>
    <row r="1359" spans="1:16" ht="12.75">
      <c r="A1359">
        <v>1352</v>
      </c>
      <c r="B1359" s="539" t="s">
        <v>4086</v>
      </c>
      <c r="C1359" t="s">
        <v>5723</v>
      </c>
      <c r="D1359" t="s">
        <v>2522</v>
      </c>
      <c r="E1359" s="540">
        <v>3</v>
      </c>
      <c r="F1359" s="541">
        <v>1</v>
      </c>
      <c r="G1359" s="541">
        <v>223.41</v>
      </c>
      <c r="H1359" s="542">
        <v>0</v>
      </c>
      <c r="I1359">
        <v>3</v>
      </c>
      <c r="K1359" s="370">
        <v>8623</v>
      </c>
      <c r="L1359" s="371" t="s">
        <v>815</v>
      </c>
      <c r="M1359" s="372" t="s">
        <v>751</v>
      </c>
      <c r="N1359" s="373" t="s">
        <v>816</v>
      </c>
      <c r="O1359" s="374" t="s">
        <v>817</v>
      </c>
      <c r="P1359" s="374" t="s">
        <v>754</v>
      </c>
    </row>
    <row r="1360" spans="1:16" ht="12.75">
      <c r="A1360">
        <v>1353</v>
      </c>
      <c r="B1360" s="539">
        <v>16050</v>
      </c>
      <c r="C1360" t="s">
        <v>5724</v>
      </c>
      <c r="D1360" t="s">
        <v>2522</v>
      </c>
      <c r="E1360" s="540">
        <v>1</v>
      </c>
      <c r="F1360" s="541">
        <v>1</v>
      </c>
      <c r="G1360" s="541">
        <v>600</v>
      </c>
      <c r="H1360" s="542">
        <v>0</v>
      </c>
      <c r="I1360">
        <v>1</v>
      </c>
      <c r="K1360" s="370">
        <v>8628</v>
      </c>
      <c r="L1360" s="371" t="s">
        <v>818</v>
      </c>
      <c r="M1360" s="372" t="s">
        <v>974</v>
      </c>
      <c r="N1360" s="373" t="s">
        <v>819</v>
      </c>
      <c r="O1360" s="374" t="s">
        <v>818</v>
      </c>
      <c r="P1360" s="374" t="s">
        <v>3175</v>
      </c>
    </row>
    <row r="1361" spans="1:16" ht="12.75">
      <c r="A1361">
        <v>1354</v>
      </c>
      <c r="B1361" s="539" t="s">
        <v>4137</v>
      </c>
      <c r="C1361" t="s">
        <v>5725</v>
      </c>
      <c r="D1361" t="s">
        <v>2522</v>
      </c>
      <c r="E1361" s="540">
        <v>3</v>
      </c>
      <c r="F1361" s="541">
        <v>1</v>
      </c>
      <c r="G1361" s="541">
        <v>200</v>
      </c>
      <c r="H1361" s="542">
        <v>0</v>
      </c>
      <c r="I1361">
        <v>1</v>
      </c>
      <c r="K1361" s="370">
        <v>8631</v>
      </c>
      <c r="L1361" s="371" t="s">
        <v>820</v>
      </c>
      <c r="M1361" s="372" t="s">
        <v>751</v>
      </c>
      <c r="N1361" s="373" t="s">
        <v>821</v>
      </c>
      <c r="O1361" s="374" t="s">
        <v>820</v>
      </c>
      <c r="P1361" s="374" t="s">
        <v>754</v>
      </c>
    </row>
    <row r="1362" spans="1:16" ht="12.75">
      <c r="A1362">
        <v>1355</v>
      </c>
      <c r="B1362" s="539">
        <v>8131</v>
      </c>
      <c r="C1362" t="s">
        <v>5726</v>
      </c>
      <c r="D1362" t="s">
        <v>2522</v>
      </c>
      <c r="E1362" s="540">
        <v>10</v>
      </c>
      <c r="F1362" s="541">
        <v>1</v>
      </c>
      <c r="G1362" s="541">
        <v>59</v>
      </c>
      <c r="H1362" s="542">
        <v>0</v>
      </c>
      <c r="I1362">
        <v>1</v>
      </c>
      <c r="K1362" s="370">
        <v>8632</v>
      </c>
      <c r="L1362" s="371" t="s">
        <v>822</v>
      </c>
      <c r="M1362" s="372" t="s">
        <v>751</v>
      </c>
      <c r="N1362" s="373" t="s">
        <v>823</v>
      </c>
      <c r="O1362" s="374" t="s">
        <v>822</v>
      </c>
      <c r="P1362" s="374" t="s">
        <v>754</v>
      </c>
    </row>
    <row r="1363" spans="1:16" ht="12.75">
      <c r="A1363">
        <v>1356</v>
      </c>
      <c r="B1363" s="539" t="s">
        <v>5727</v>
      </c>
      <c r="C1363" t="s">
        <v>5728</v>
      </c>
      <c r="D1363" t="s">
        <v>2522</v>
      </c>
      <c r="E1363" s="540">
        <v>2</v>
      </c>
      <c r="F1363" s="541">
        <v>1</v>
      </c>
      <c r="G1363" s="541">
        <v>285</v>
      </c>
      <c r="H1363" s="542">
        <v>0</v>
      </c>
      <c r="I1363">
        <v>1</v>
      </c>
      <c r="K1363" s="370">
        <v>8633</v>
      </c>
      <c r="L1363" s="371" t="s">
        <v>824</v>
      </c>
      <c r="M1363" s="372" t="s">
        <v>751</v>
      </c>
      <c r="N1363" s="373" t="s">
        <v>825</v>
      </c>
      <c r="O1363" s="374" t="s">
        <v>824</v>
      </c>
      <c r="P1363" s="374" t="s">
        <v>754</v>
      </c>
    </row>
    <row r="1364" spans="1:16" ht="12.75">
      <c r="A1364">
        <v>1357</v>
      </c>
      <c r="B1364" s="539">
        <v>6590</v>
      </c>
      <c r="C1364" t="s">
        <v>5729</v>
      </c>
      <c r="D1364" t="s">
        <v>2522</v>
      </c>
      <c r="E1364" s="540">
        <v>11</v>
      </c>
      <c r="F1364" s="541">
        <v>1</v>
      </c>
      <c r="G1364" s="541">
        <v>50</v>
      </c>
      <c r="H1364" s="542">
        <v>0</v>
      </c>
      <c r="I1364">
        <v>1</v>
      </c>
      <c r="K1364" s="370">
        <v>8634</v>
      </c>
      <c r="L1364" s="371" t="s">
        <v>826</v>
      </c>
      <c r="M1364" s="372" t="s">
        <v>751</v>
      </c>
      <c r="N1364" s="373" t="s">
        <v>827</v>
      </c>
      <c r="O1364" s="374" t="s">
        <v>826</v>
      </c>
      <c r="P1364" s="374" t="s">
        <v>754</v>
      </c>
    </row>
    <row r="1365" spans="1:16" ht="12.75">
      <c r="A1365">
        <v>1358</v>
      </c>
      <c r="B1365" s="539">
        <v>40006</v>
      </c>
      <c r="C1365" t="s">
        <v>5730</v>
      </c>
      <c r="D1365" t="s">
        <v>2522</v>
      </c>
      <c r="E1365" s="540">
        <v>1</v>
      </c>
      <c r="F1365" s="541">
        <v>1</v>
      </c>
      <c r="G1365" s="541">
        <v>500</v>
      </c>
      <c r="H1365" s="542">
        <v>0</v>
      </c>
      <c r="I1365">
        <v>1</v>
      </c>
      <c r="K1365" s="370">
        <v>8635</v>
      </c>
      <c r="L1365" s="371" t="s">
        <v>828</v>
      </c>
      <c r="M1365" s="372" t="s">
        <v>751</v>
      </c>
      <c r="N1365" s="373" t="s">
        <v>829</v>
      </c>
      <c r="O1365" s="374" t="s">
        <v>828</v>
      </c>
      <c r="P1365" s="374" t="s">
        <v>754</v>
      </c>
    </row>
    <row r="1366" spans="1:16" ht="12.75">
      <c r="A1366">
        <v>1359</v>
      </c>
      <c r="B1366" s="539">
        <v>40133</v>
      </c>
      <c r="C1366" t="s">
        <v>5731</v>
      </c>
      <c r="D1366" t="s">
        <v>2522</v>
      </c>
      <c r="E1366" s="540">
        <v>1</v>
      </c>
      <c r="F1366" s="541">
        <v>1</v>
      </c>
      <c r="G1366" s="541">
        <v>500</v>
      </c>
      <c r="H1366" s="542">
        <v>0</v>
      </c>
      <c r="I1366">
        <v>1</v>
      </c>
      <c r="K1366" s="370">
        <v>8636</v>
      </c>
      <c r="L1366" s="371" t="s">
        <v>830</v>
      </c>
      <c r="M1366" s="372" t="s">
        <v>751</v>
      </c>
      <c r="N1366" s="373" t="s">
        <v>831</v>
      </c>
      <c r="O1366" s="374" t="s">
        <v>830</v>
      </c>
      <c r="P1366" s="374" t="s">
        <v>754</v>
      </c>
    </row>
    <row r="1367" spans="1:16" ht="12.75">
      <c r="A1367">
        <v>1360</v>
      </c>
      <c r="B1367" s="539">
        <v>16023</v>
      </c>
      <c r="C1367" t="s">
        <v>5732</v>
      </c>
      <c r="D1367" t="s">
        <v>2439</v>
      </c>
      <c r="E1367" s="540">
        <v>40</v>
      </c>
      <c r="F1367" s="541">
        <v>0</v>
      </c>
      <c r="G1367" s="541">
        <v>12</v>
      </c>
      <c r="H1367" s="542">
        <v>0</v>
      </c>
      <c r="I1367">
        <v>1</v>
      </c>
      <c r="K1367" s="370">
        <v>8637</v>
      </c>
      <c r="L1367" s="371" t="s">
        <v>832</v>
      </c>
      <c r="M1367" s="372" t="s">
        <v>751</v>
      </c>
      <c r="N1367" s="373" t="s">
        <v>833</v>
      </c>
      <c r="O1367" s="374" t="s">
        <v>832</v>
      </c>
      <c r="P1367" s="374" t="s">
        <v>754</v>
      </c>
    </row>
    <row r="1368" spans="1:16" ht="12.75">
      <c r="A1368">
        <v>1361</v>
      </c>
      <c r="B1368" s="539">
        <v>6545</v>
      </c>
      <c r="C1368" t="s">
        <v>5733</v>
      </c>
      <c r="D1368" t="s">
        <v>2439</v>
      </c>
      <c r="E1368" s="540">
        <v>99</v>
      </c>
      <c r="F1368" s="541">
        <v>0</v>
      </c>
      <c r="G1368" s="541">
        <v>4.66</v>
      </c>
      <c r="H1368" s="542">
        <v>0</v>
      </c>
      <c r="I1368">
        <v>2</v>
      </c>
      <c r="K1368" s="370">
        <v>8638</v>
      </c>
      <c r="L1368" s="371" t="s">
        <v>834</v>
      </c>
      <c r="M1368" s="372" t="s">
        <v>751</v>
      </c>
      <c r="N1368" s="373" t="s">
        <v>835</v>
      </c>
      <c r="O1368" s="374" t="s">
        <v>834</v>
      </c>
      <c r="P1368" s="374" t="s">
        <v>754</v>
      </c>
    </row>
    <row r="1369" spans="1:16" ht="12.75">
      <c r="A1369">
        <v>1362</v>
      </c>
      <c r="B1369" s="539" t="s">
        <v>5734</v>
      </c>
      <c r="C1369" t="s">
        <v>5735</v>
      </c>
      <c r="D1369" t="s">
        <v>3416</v>
      </c>
      <c r="E1369" s="540">
        <v>66</v>
      </c>
      <c r="F1369" s="541">
        <v>0</v>
      </c>
      <c r="G1369" s="541">
        <v>6.9</v>
      </c>
      <c r="H1369" s="542">
        <v>0</v>
      </c>
      <c r="I1369">
        <v>1</v>
      </c>
      <c r="K1369" s="370">
        <v>8639</v>
      </c>
      <c r="L1369" s="371" t="s">
        <v>836</v>
      </c>
      <c r="M1369" s="372" t="s">
        <v>751</v>
      </c>
      <c r="N1369" s="373" t="s">
        <v>837</v>
      </c>
      <c r="O1369" s="374" t="s">
        <v>836</v>
      </c>
      <c r="P1369" s="374" t="s">
        <v>754</v>
      </c>
    </row>
    <row r="1370" spans="1:16" ht="12.75">
      <c r="A1370">
        <v>1363</v>
      </c>
      <c r="B1370" s="539">
        <v>15123</v>
      </c>
      <c r="C1370" t="s">
        <v>5736</v>
      </c>
      <c r="D1370" t="s">
        <v>2522</v>
      </c>
      <c r="E1370" s="540">
        <v>5</v>
      </c>
      <c r="F1370" s="541">
        <v>0</v>
      </c>
      <c r="G1370" s="541">
        <v>90</v>
      </c>
      <c r="H1370" s="542">
        <v>0</v>
      </c>
      <c r="I1370">
        <v>1</v>
      </c>
      <c r="K1370" s="370">
        <v>8651</v>
      </c>
      <c r="L1370" s="371" t="s">
        <v>838</v>
      </c>
      <c r="M1370" s="372" t="s">
        <v>751</v>
      </c>
      <c r="N1370" s="373" t="s">
        <v>627</v>
      </c>
      <c r="O1370" s="374" t="s">
        <v>628</v>
      </c>
      <c r="P1370" s="374" t="s">
        <v>754</v>
      </c>
    </row>
    <row r="1371" spans="1:16" ht="12.75">
      <c r="A1371">
        <v>1364</v>
      </c>
      <c r="B1371" s="539">
        <v>14626</v>
      </c>
      <c r="C1371" t="s">
        <v>5737</v>
      </c>
      <c r="D1371" t="s">
        <v>2522</v>
      </c>
      <c r="E1371" s="540">
        <v>4</v>
      </c>
      <c r="F1371" s="541">
        <v>0</v>
      </c>
      <c r="G1371" s="541">
        <v>100</v>
      </c>
      <c r="H1371" s="542">
        <v>0</v>
      </c>
      <c r="I1371">
        <v>1</v>
      </c>
      <c r="K1371" s="370">
        <v>8652</v>
      </c>
      <c r="L1371" s="371" t="s">
        <v>629</v>
      </c>
      <c r="M1371" s="372" t="s">
        <v>751</v>
      </c>
      <c r="N1371" s="373" t="s">
        <v>630</v>
      </c>
      <c r="O1371" s="374" t="s">
        <v>631</v>
      </c>
      <c r="P1371" s="374" t="s">
        <v>754</v>
      </c>
    </row>
    <row r="1372" spans="1:16" ht="12.75">
      <c r="A1372">
        <v>1365</v>
      </c>
      <c r="B1372" s="539">
        <v>2013</v>
      </c>
      <c r="C1372" t="s">
        <v>5738</v>
      </c>
      <c r="D1372" t="s">
        <v>2522</v>
      </c>
      <c r="E1372" s="540">
        <v>4</v>
      </c>
      <c r="F1372" s="541">
        <v>0</v>
      </c>
      <c r="G1372" s="541">
        <v>95.4</v>
      </c>
      <c r="H1372" s="542">
        <v>0</v>
      </c>
      <c r="I1372">
        <v>1</v>
      </c>
      <c r="K1372" s="370">
        <v>8653</v>
      </c>
      <c r="L1372" s="371" t="s">
        <v>632</v>
      </c>
      <c r="M1372" s="372" t="s">
        <v>751</v>
      </c>
      <c r="N1372" s="373" t="s">
        <v>633</v>
      </c>
      <c r="O1372" s="374" t="s">
        <v>634</v>
      </c>
      <c r="P1372" s="374" t="s">
        <v>754</v>
      </c>
    </row>
    <row r="1373" spans="1:16" ht="12.75">
      <c r="A1373">
        <v>1366</v>
      </c>
      <c r="B1373" s="539" t="s">
        <v>4335</v>
      </c>
      <c r="C1373" t="s">
        <v>5739</v>
      </c>
      <c r="D1373" t="s">
        <v>2522</v>
      </c>
      <c r="E1373" s="540">
        <v>1</v>
      </c>
      <c r="F1373" s="541">
        <v>0</v>
      </c>
      <c r="G1373" s="541">
        <v>335.61</v>
      </c>
      <c r="H1373" s="542">
        <v>0</v>
      </c>
      <c r="I1373">
        <v>1</v>
      </c>
      <c r="K1373" s="370">
        <v>8654</v>
      </c>
      <c r="L1373" s="371" t="s">
        <v>635</v>
      </c>
      <c r="M1373" s="372" t="s">
        <v>751</v>
      </c>
      <c r="N1373" s="373" t="s">
        <v>636</v>
      </c>
      <c r="O1373" s="374" t="s">
        <v>637</v>
      </c>
      <c r="P1373" s="374" t="s">
        <v>754</v>
      </c>
    </row>
    <row r="1374" spans="1:16" ht="12.75">
      <c r="A1374">
        <v>1367</v>
      </c>
      <c r="B1374" s="539">
        <v>16065</v>
      </c>
      <c r="C1374" t="s">
        <v>5740</v>
      </c>
      <c r="D1374" t="s">
        <v>2522</v>
      </c>
      <c r="E1374" s="540">
        <v>6</v>
      </c>
      <c r="F1374" s="541">
        <v>0</v>
      </c>
      <c r="G1374" s="541">
        <v>50</v>
      </c>
      <c r="H1374" s="542">
        <v>0</v>
      </c>
      <c r="I1374">
        <v>1</v>
      </c>
      <c r="K1374" s="370">
        <v>8655</v>
      </c>
      <c r="L1374" s="371" t="s">
        <v>638</v>
      </c>
      <c r="M1374" s="372" t="s">
        <v>751</v>
      </c>
      <c r="N1374" s="373" t="s">
        <v>639</v>
      </c>
      <c r="O1374" s="374" t="s">
        <v>640</v>
      </c>
      <c r="P1374" s="374" t="s">
        <v>754</v>
      </c>
    </row>
    <row r="1375" spans="1:16" ht="12.75">
      <c r="A1375">
        <v>1368</v>
      </c>
      <c r="B1375" s="539" t="s">
        <v>4142</v>
      </c>
      <c r="C1375" t="s">
        <v>4143</v>
      </c>
      <c r="D1375" t="s">
        <v>3416</v>
      </c>
      <c r="E1375" s="540">
        <v>30</v>
      </c>
      <c r="F1375" s="541">
        <v>0</v>
      </c>
      <c r="G1375" s="541">
        <v>10</v>
      </c>
      <c r="H1375" s="542">
        <v>0</v>
      </c>
      <c r="I1375">
        <v>1</v>
      </c>
      <c r="K1375" s="370">
        <v>8656</v>
      </c>
      <c r="L1375" s="371" t="s">
        <v>641</v>
      </c>
      <c r="M1375" s="372" t="s">
        <v>751</v>
      </c>
      <c r="N1375" s="373" t="s">
        <v>642</v>
      </c>
      <c r="O1375" s="374" t="s">
        <v>643</v>
      </c>
      <c r="P1375" s="374" t="s">
        <v>754</v>
      </c>
    </row>
    <row r="1376" spans="1:16" ht="12.75">
      <c r="A1376">
        <v>1369</v>
      </c>
      <c r="B1376" s="539">
        <v>6533</v>
      </c>
      <c r="C1376" t="s">
        <v>5741</v>
      </c>
      <c r="D1376" t="s">
        <v>2439</v>
      </c>
      <c r="E1376" s="540">
        <v>140</v>
      </c>
      <c r="F1376" s="541">
        <v>0</v>
      </c>
      <c r="G1376" s="541">
        <v>2</v>
      </c>
      <c r="H1376" s="542">
        <v>0</v>
      </c>
      <c r="I1376">
        <v>1</v>
      </c>
      <c r="K1376" s="370">
        <v>8661</v>
      </c>
      <c r="L1376" s="371" t="s">
        <v>644</v>
      </c>
      <c r="M1376" s="372" t="s">
        <v>751</v>
      </c>
      <c r="N1376" s="373" t="s">
        <v>645</v>
      </c>
      <c r="O1376" s="374" t="s">
        <v>646</v>
      </c>
      <c r="P1376" s="374" t="s">
        <v>754</v>
      </c>
    </row>
    <row r="1377" spans="1:16" ht="12.75">
      <c r="A1377">
        <v>1370</v>
      </c>
      <c r="B1377" s="539">
        <v>523</v>
      </c>
      <c r="C1377" t="s">
        <v>5742</v>
      </c>
      <c r="D1377" t="s">
        <v>2439</v>
      </c>
      <c r="E1377" s="540">
        <v>3</v>
      </c>
      <c r="F1377" s="541">
        <v>0</v>
      </c>
      <c r="G1377" s="541">
        <v>89.5</v>
      </c>
      <c r="H1377" s="542">
        <v>0</v>
      </c>
      <c r="I1377">
        <v>1</v>
      </c>
      <c r="K1377" s="370">
        <v>8662</v>
      </c>
      <c r="L1377" s="371" t="s">
        <v>1911</v>
      </c>
      <c r="M1377" s="372" t="s">
        <v>751</v>
      </c>
      <c r="N1377" s="373" t="s">
        <v>1912</v>
      </c>
      <c r="O1377" s="374" t="s">
        <v>1913</v>
      </c>
      <c r="P1377" s="374" t="s">
        <v>754</v>
      </c>
    </row>
    <row r="1378" spans="1:16" ht="12.75">
      <c r="A1378">
        <v>1371</v>
      </c>
      <c r="B1378" s="539" t="s">
        <v>5743</v>
      </c>
      <c r="C1378" t="s">
        <v>5744</v>
      </c>
      <c r="D1378" t="s">
        <v>2441</v>
      </c>
      <c r="E1378" s="540">
        <v>1</v>
      </c>
      <c r="F1378" s="541">
        <v>0</v>
      </c>
      <c r="G1378" s="541">
        <v>250</v>
      </c>
      <c r="H1378" s="542">
        <v>0</v>
      </c>
      <c r="I1378">
        <v>1</v>
      </c>
      <c r="K1378" s="370">
        <v>8663</v>
      </c>
      <c r="L1378" s="371" t="s">
        <v>1914</v>
      </c>
      <c r="M1378" s="372" t="s">
        <v>751</v>
      </c>
      <c r="N1378" s="373" t="s">
        <v>1915</v>
      </c>
      <c r="O1378" s="374" t="s">
        <v>1916</v>
      </c>
      <c r="P1378" s="374" t="s">
        <v>754</v>
      </c>
    </row>
    <row r="1379" spans="1:16" ht="12.75">
      <c r="A1379">
        <v>1372</v>
      </c>
      <c r="B1379" s="539">
        <v>24541</v>
      </c>
      <c r="C1379" t="s">
        <v>5745</v>
      </c>
      <c r="D1379" t="s">
        <v>2522</v>
      </c>
      <c r="E1379" s="540">
        <v>1</v>
      </c>
      <c r="F1379" s="541">
        <v>0</v>
      </c>
      <c r="G1379" s="541">
        <v>200</v>
      </c>
      <c r="H1379" s="542">
        <v>0</v>
      </c>
      <c r="I1379">
        <v>1</v>
      </c>
      <c r="K1379" s="370">
        <v>8664</v>
      </c>
      <c r="L1379" s="371" t="s">
        <v>1917</v>
      </c>
      <c r="M1379" s="372" t="s">
        <v>751</v>
      </c>
      <c r="N1379" s="373" t="s">
        <v>1918</v>
      </c>
      <c r="O1379" s="374" t="s">
        <v>1919</v>
      </c>
      <c r="P1379" s="374" t="s">
        <v>754</v>
      </c>
    </row>
    <row r="1380" spans="1:16" ht="12.75">
      <c r="A1380">
        <v>1373</v>
      </c>
      <c r="B1380" s="539">
        <v>6561</v>
      </c>
      <c r="C1380" t="s">
        <v>5746</v>
      </c>
      <c r="D1380" t="s">
        <v>2439</v>
      </c>
      <c r="E1380" s="540">
        <v>10</v>
      </c>
      <c r="F1380" s="541">
        <v>0</v>
      </c>
      <c r="G1380" s="541">
        <v>18</v>
      </c>
      <c r="H1380" s="542">
        <v>0</v>
      </c>
      <c r="I1380">
        <v>1</v>
      </c>
      <c r="K1380" s="370">
        <v>8665</v>
      </c>
      <c r="L1380" s="371" t="s">
        <v>1920</v>
      </c>
      <c r="M1380" s="372" t="s">
        <v>751</v>
      </c>
      <c r="N1380" s="373" t="s">
        <v>1921</v>
      </c>
      <c r="O1380" s="374" t="s">
        <v>1922</v>
      </c>
      <c r="P1380" s="374" t="s">
        <v>754</v>
      </c>
    </row>
    <row r="1381" spans="1:16" ht="12.75">
      <c r="A1381">
        <v>1374</v>
      </c>
      <c r="B1381" s="539" t="s">
        <v>5747</v>
      </c>
      <c r="C1381" t="s">
        <v>5748</v>
      </c>
      <c r="D1381" t="s">
        <v>2439</v>
      </c>
      <c r="E1381" s="540">
        <v>180</v>
      </c>
      <c r="F1381" s="541">
        <v>0</v>
      </c>
      <c r="G1381" s="541">
        <v>1</v>
      </c>
      <c r="H1381" s="542">
        <v>0</v>
      </c>
      <c r="I1381">
        <v>1</v>
      </c>
      <c r="K1381" s="370">
        <v>8666</v>
      </c>
      <c r="L1381" s="371" t="s">
        <v>1923</v>
      </c>
      <c r="M1381" s="372" t="s">
        <v>751</v>
      </c>
      <c r="N1381" s="373" t="s">
        <v>1924</v>
      </c>
      <c r="O1381" s="374" t="s">
        <v>1925</v>
      </c>
      <c r="P1381" s="374" t="s">
        <v>754</v>
      </c>
    </row>
    <row r="1382" spans="1:16" ht="12.75">
      <c r="A1382">
        <v>1375</v>
      </c>
      <c r="B1382" s="539" t="s">
        <v>5749</v>
      </c>
      <c r="C1382" t="s">
        <v>5750</v>
      </c>
      <c r="D1382" t="s">
        <v>2439</v>
      </c>
      <c r="E1382" s="540">
        <v>50</v>
      </c>
      <c r="F1382" s="541">
        <v>0</v>
      </c>
      <c r="G1382" s="541">
        <v>3.2</v>
      </c>
      <c r="H1382" s="542">
        <v>0</v>
      </c>
      <c r="I1382">
        <v>1</v>
      </c>
      <c r="K1382" s="370">
        <v>8667</v>
      </c>
      <c r="L1382" s="371" t="s">
        <v>1926</v>
      </c>
      <c r="M1382" s="372" t="s">
        <v>751</v>
      </c>
      <c r="N1382" s="373" t="s">
        <v>1927</v>
      </c>
      <c r="O1382" s="374" t="s">
        <v>1928</v>
      </c>
      <c r="P1382" s="374" t="s">
        <v>754</v>
      </c>
    </row>
    <row r="1383" spans="1:16" ht="12.75">
      <c r="A1383">
        <v>1376</v>
      </c>
      <c r="B1383" s="539">
        <v>40119</v>
      </c>
      <c r="C1383" t="s">
        <v>5751</v>
      </c>
      <c r="D1383" t="s">
        <v>2439</v>
      </c>
      <c r="E1383" s="540">
        <v>80</v>
      </c>
      <c r="F1383" s="541">
        <v>0</v>
      </c>
      <c r="G1383" s="541">
        <v>2</v>
      </c>
      <c r="H1383" s="542">
        <v>0</v>
      </c>
      <c r="I1383">
        <v>1</v>
      </c>
      <c r="K1383" s="370">
        <v>8668</v>
      </c>
      <c r="L1383" s="371" t="s">
        <v>1929</v>
      </c>
      <c r="M1383" s="372" t="s">
        <v>751</v>
      </c>
      <c r="N1383" s="373" t="s">
        <v>1930</v>
      </c>
      <c r="O1383" s="374" t="s">
        <v>1931</v>
      </c>
      <c r="P1383" s="374" t="s">
        <v>754</v>
      </c>
    </row>
    <row r="1384" spans="1:16" ht="12.75">
      <c r="A1384">
        <v>1377</v>
      </c>
      <c r="B1384" s="539">
        <v>2712</v>
      </c>
      <c r="C1384" t="s">
        <v>5752</v>
      </c>
      <c r="D1384" t="s">
        <v>1773</v>
      </c>
      <c r="E1384" s="540">
        <v>12335</v>
      </c>
      <c r="F1384" s="541">
        <v>0</v>
      </c>
      <c r="G1384" s="541">
        <v>0.01</v>
      </c>
      <c r="H1384" s="542">
        <v>0</v>
      </c>
      <c r="I1384">
        <v>1</v>
      </c>
      <c r="K1384" s="370">
        <v>8669</v>
      </c>
      <c r="L1384" s="371" t="s">
        <v>1932</v>
      </c>
      <c r="M1384" s="372" t="s">
        <v>751</v>
      </c>
      <c r="N1384" s="373" t="s">
        <v>1933</v>
      </c>
      <c r="O1384" s="374" t="s">
        <v>1934</v>
      </c>
      <c r="P1384" s="374" t="s">
        <v>754</v>
      </c>
    </row>
    <row r="1385" spans="1:16" ht="12.75">
      <c r="A1385">
        <v>1378</v>
      </c>
      <c r="B1385" s="539">
        <v>40120</v>
      </c>
      <c r="C1385" t="s">
        <v>5753</v>
      </c>
      <c r="D1385" t="s">
        <v>2439</v>
      </c>
      <c r="E1385" s="540">
        <v>40</v>
      </c>
      <c r="F1385" s="541">
        <v>0</v>
      </c>
      <c r="G1385" s="541">
        <v>3</v>
      </c>
      <c r="H1385" s="542">
        <v>0</v>
      </c>
      <c r="I1385">
        <v>1</v>
      </c>
      <c r="K1385" s="370">
        <v>8670</v>
      </c>
      <c r="L1385" s="371" t="s">
        <v>1935</v>
      </c>
      <c r="M1385" s="372" t="s">
        <v>751</v>
      </c>
      <c r="N1385" s="373" t="s">
        <v>1936</v>
      </c>
      <c r="O1385" s="374" t="s">
        <v>1937</v>
      </c>
      <c r="P1385" s="374" t="s">
        <v>754</v>
      </c>
    </row>
    <row r="1386" spans="1:16" ht="12.75">
      <c r="A1386">
        <v>1379</v>
      </c>
      <c r="B1386" s="539">
        <v>6513</v>
      </c>
      <c r="C1386" t="s">
        <v>5754</v>
      </c>
      <c r="D1386" t="s">
        <v>2439</v>
      </c>
      <c r="E1386" s="540">
        <v>160</v>
      </c>
      <c r="F1386" s="541">
        <v>0</v>
      </c>
      <c r="G1386" s="541">
        <v>0.58</v>
      </c>
      <c r="H1386" s="542">
        <v>0</v>
      </c>
      <c r="I1386">
        <v>1</v>
      </c>
      <c r="K1386" s="370">
        <v>8671</v>
      </c>
      <c r="L1386" s="371" t="s">
        <v>1938</v>
      </c>
      <c r="M1386" s="372" t="s">
        <v>751</v>
      </c>
      <c r="N1386" s="373" t="s">
        <v>1939</v>
      </c>
      <c r="O1386" s="374" t="s">
        <v>1940</v>
      </c>
      <c r="P1386" s="374" t="s">
        <v>754</v>
      </c>
    </row>
    <row r="1387" spans="1:16" ht="12.75">
      <c r="A1387">
        <v>1380</v>
      </c>
      <c r="B1387" s="539" t="s">
        <v>5755</v>
      </c>
      <c r="C1387" t="s">
        <v>5756</v>
      </c>
      <c r="D1387" t="s">
        <v>1773</v>
      </c>
      <c r="E1387" s="540">
        <v>1448</v>
      </c>
      <c r="F1387" s="541">
        <v>0</v>
      </c>
      <c r="G1387" s="541">
        <v>0.01</v>
      </c>
      <c r="H1387" s="542">
        <v>0</v>
      </c>
      <c r="I1387">
        <v>1</v>
      </c>
      <c r="K1387" s="370">
        <v>8672</v>
      </c>
      <c r="L1387" s="371" t="s">
        <v>3895</v>
      </c>
      <c r="M1387" s="372" t="s">
        <v>751</v>
      </c>
      <c r="N1387" s="373" t="s">
        <v>3896</v>
      </c>
      <c r="O1387" s="374" t="s">
        <v>3897</v>
      </c>
      <c r="P1387" s="374" t="s">
        <v>754</v>
      </c>
    </row>
    <row r="1388" spans="1:14" ht="12.75">
      <c r="A1388">
        <v>1381</v>
      </c>
      <c r="B1388" s="539" t="s">
        <v>4207</v>
      </c>
      <c r="C1388" t="s">
        <v>5757</v>
      </c>
      <c r="D1388" t="s">
        <v>1771</v>
      </c>
      <c r="E1388" s="540">
        <v>300</v>
      </c>
      <c r="F1388" s="541">
        <v>0</v>
      </c>
      <c r="G1388" s="541">
        <v>0.01</v>
      </c>
      <c r="H1388" s="542">
        <v>0</v>
      </c>
      <c r="I1388">
        <v>1</v>
      </c>
      <c r="K1388" s="370">
        <v>8707</v>
      </c>
      <c r="L1388" s="371" t="s">
        <v>3898</v>
      </c>
      <c r="M1388" s="372" t="s">
        <v>2821</v>
      </c>
      <c r="N1388" s="373"/>
    </row>
    <row r="1389" spans="1:16" ht="12.75">
      <c r="A1389">
        <v>1382</v>
      </c>
      <c r="B1389" s="539" t="s">
        <v>5758</v>
      </c>
      <c r="C1389" t="s">
        <v>5759</v>
      </c>
      <c r="D1389" t="s">
        <v>4310</v>
      </c>
      <c r="E1389" s="540">
        <v>1</v>
      </c>
      <c r="F1389" s="541">
        <v>0</v>
      </c>
      <c r="G1389" s="541">
        <v>0.1</v>
      </c>
      <c r="H1389" s="542">
        <v>0</v>
      </c>
      <c r="I1389">
        <v>1</v>
      </c>
      <c r="K1389" s="370">
        <v>8709</v>
      </c>
      <c r="L1389" s="371" t="s">
        <v>3899</v>
      </c>
      <c r="M1389" s="372" t="s">
        <v>751</v>
      </c>
      <c r="N1389" s="373" t="s">
        <v>3900</v>
      </c>
      <c r="O1389" s="374" t="s">
        <v>3901</v>
      </c>
      <c r="P1389" s="374" t="s">
        <v>754</v>
      </c>
    </row>
    <row r="1390" spans="11:16" ht="12.75">
      <c r="K1390" s="370">
        <v>8710</v>
      </c>
      <c r="L1390" s="371" t="s">
        <v>3902</v>
      </c>
      <c r="M1390" s="372" t="s">
        <v>751</v>
      </c>
      <c r="N1390" s="373" t="s">
        <v>3903</v>
      </c>
      <c r="O1390" s="374" t="s">
        <v>3904</v>
      </c>
      <c r="P1390" s="374" t="s">
        <v>754</v>
      </c>
    </row>
    <row r="1391" spans="11:16" ht="12.75">
      <c r="K1391" s="370">
        <v>8711</v>
      </c>
      <c r="L1391" s="371" t="s">
        <v>3905</v>
      </c>
      <c r="M1391" s="372" t="s">
        <v>751</v>
      </c>
      <c r="N1391" s="373" t="s">
        <v>3906</v>
      </c>
      <c r="O1391" s="374" t="s">
        <v>3907</v>
      </c>
      <c r="P1391" s="374" t="s">
        <v>754</v>
      </c>
    </row>
    <row r="1392" spans="11:16" ht="12.75">
      <c r="K1392" s="370">
        <v>8712</v>
      </c>
      <c r="L1392" s="371" t="s">
        <v>3908</v>
      </c>
      <c r="M1392" s="372" t="s">
        <v>751</v>
      </c>
      <c r="N1392" s="373" t="s">
        <v>3909</v>
      </c>
      <c r="O1392" s="374" t="s">
        <v>3910</v>
      </c>
      <c r="P1392" s="374" t="s">
        <v>754</v>
      </c>
    </row>
    <row r="1393" spans="11:16" ht="12.75">
      <c r="K1393" s="370">
        <v>8713</v>
      </c>
      <c r="L1393" s="371" t="s">
        <v>3911</v>
      </c>
      <c r="M1393" s="372" t="s">
        <v>751</v>
      </c>
      <c r="N1393" s="373" t="s">
        <v>3912</v>
      </c>
      <c r="O1393" s="374" t="s">
        <v>3913</v>
      </c>
      <c r="P1393" s="374" t="s">
        <v>754</v>
      </c>
    </row>
    <row r="1394" spans="11:16" ht="12.75">
      <c r="K1394" s="370">
        <v>8714</v>
      </c>
      <c r="L1394" s="371" t="s">
        <v>3914</v>
      </c>
      <c r="M1394" s="372" t="s">
        <v>751</v>
      </c>
      <c r="N1394" s="373" t="s">
        <v>3915</v>
      </c>
      <c r="O1394" s="374" t="s">
        <v>3916</v>
      </c>
      <c r="P1394" s="374" t="s">
        <v>754</v>
      </c>
    </row>
    <row r="1395" spans="11:16" ht="12.75">
      <c r="K1395" s="370">
        <v>8716</v>
      </c>
      <c r="L1395" s="371" t="s">
        <v>3917</v>
      </c>
      <c r="M1395" s="372" t="s">
        <v>751</v>
      </c>
      <c r="N1395" s="373" t="s">
        <v>3918</v>
      </c>
      <c r="O1395" s="374" t="s">
        <v>3919</v>
      </c>
      <c r="P1395" s="374" t="s">
        <v>754</v>
      </c>
    </row>
    <row r="1396" spans="11:14" ht="12.75">
      <c r="K1396" s="370">
        <v>8752</v>
      </c>
      <c r="L1396" s="371" t="s">
        <v>3920</v>
      </c>
      <c r="M1396" s="372" t="s">
        <v>2819</v>
      </c>
      <c r="N1396" s="373"/>
    </row>
    <row r="1397" spans="11:16" ht="12.75">
      <c r="K1397" s="370">
        <v>8801</v>
      </c>
      <c r="L1397" s="371" t="s">
        <v>3921</v>
      </c>
      <c r="M1397" s="372" t="s">
        <v>751</v>
      </c>
      <c r="N1397" s="373" t="s">
        <v>3922</v>
      </c>
      <c r="O1397" s="374" t="s">
        <v>3921</v>
      </c>
      <c r="P1397" s="374" t="s">
        <v>754</v>
      </c>
    </row>
    <row r="1398" spans="11:16" ht="12.75">
      <c r="K1398" s="370">
        <v>8802</v>
      </c>
      <c r="L1398" s="371" t="s">
        <v>3923</v>
      </c>
      <c r="M1398" s="372" t="s">
        <v>751</v>
      </c>
      <c r="N1398" s="373" t="s">
        <v>3924</v>
      </c>
      <c r="O1398" s="374" t="s">
        <v>3923</v>
      </c>
      <c r="P1398" s="374" t="s">
        <v>754</v>
      </c>
    </row>
    <row r="1399" spans="11:16" ht="12.75">
      <c r="K1399" s="370">
        <v>8805</v>
      </c>
      <c r="L1399" s="371" t="s">
        <v>3925</v>
      </c>
      <c r="M1399" s="372" t="s">
        <v>751</v>
      </c>
      <c r="N1399" s="373" t="s">
        <v>3926</v>
      </c>
      <c r="O1399" s="374" t="s">
        <v>3925</v>
      </c>
      <c r="P1399" s="374" t="s">
        <v>754</v>
      </c>
    </row>
    <row r="1400" spans="11:16" ht="12.75">
      <c r="K1400" s="370">
        <v>8806</v>
      </c>
      <c r="L1400" s="371" t="s">
        <v>3927</v>
      </c>
      <c r="M1400" s="372" t="s">
        <v>751</v>
      </c>
      <c r="N1400" s="373" t="s">
        <v>3928</v>
      </c>
      <c r="O1400" s="374" t="s">
        <v>3927</v>
      </c>
      <c r="P1400" s="374" t="s">
        <v>754</v>
      </c>
    </row>
    <row r="1401" spans="11:16" ht="12.75">
      <c r="K1401" s="370">
        <v>8807</v>
      </c>
      <c r="L1401" s="371" t="s">
        <v>3929</v>
      </c>
      <c r="M1401" s="372" t="s">
        <v>751</v>
      </c>
      <c r="N1401" s="373" t="s">
        <v>3930</v>
      </c>
      <c r="O1401" s="374" t="s">
        <v>3929</v>
      </c>
      <c r="P1401" s="374" t="s">
        <v>754</v>
      </c>
    </row>
    <row r="1402" spans="11:16" ht="12.75">
      <c r="K1402" s="370">
        <v>8808</v>
      </c>
      <c r="L1402" s="371" t="s">
        <v>3931</v>
      </c>
      <c r="M1402" s="372" t="s">
        <v>751</v>
      </c>
      <c r="N1402" s="373" t="s">
        <v>3932</v>
      </c>
      <c r="O1402" s="374" t="s">
        <v>3931</v>
      </c>
      <c r="P1402" s="374" t="s">
        <v>754</v>
      </c>
    </row>
    <row r="1403" spans="11:14" ht="12.75">
      <c r="K1403" s="370">
        <v>8810</v>
      </c>
      <c r="L1403" s="371" t="s">
        <v>3933</v>
      </c>
      <c r="M1403" s="372" t="s">
        <v>2821</v>
      </c>
      <c r="N1403" s="373"/>
    </row>
    <row r="1404" spans="11:16" ht="12.75">
      <c r="K1404" s="370">
        <v>8811</v>
      </c>
      <c r="L1404" s="371" t="s">
        <v>3934</v>
      </c>
      <c r="M1404" s="372" t="s">
        <v>751</v>
      </c>
      <c r="N1404" s="373" t="s">
        <v>3935</v>
      </c>
      <c r="O1404" s="374" t="s">
        <v>3934</v>
      </c>
      <c r="P1404" s="374" t="s">
        <v>754</v>
      </c>
    </row>
    <row r="1405" spans="11:16" ht="12.75">
      <c r="K1405" s="370">
        <v>8812</v>
      </c>
      <c r="L1405" s="371" t="s">
        <v>3936</v>
      </c>
      <c r="M1405" s="372" t="s">
        <v>751</v>
      </c>
      <c r="N1405" s="373" t="s">
        <v>3937</v>
      </c>
      <c r="O1405" s="374" t="s">
        <v>3936</v>
      </c>
      <c r="P1405" s="374" t="s">
        <v>754</v>
      </c>
    </row>
    <row r="1406" spans="11:16" ht="12.75">
      <c r="K1406" s="370">
        <v>8820</v>
      </c>
      <c r="L1406" s="371" t="s">
        <v>3938</v>
      </c>
      <c r="M1406" s="372" t="s">
        <v>751</v>
      </c>
      <c r="N1406" s="373" t="s">
        <v>3939</v>
      </c>
      <c r="O1406" s="374" t="s">
        <v>3940</v>
      </c>
      <c r="P1406" s="374" t="s">
        <v>754</v>
      </c>
    </row>
    <row r="1407" spans="11:16" ht="12.75">
      <c r="K1407" s="370">
        <v>8821</v>
      </c>
      <c r="L1407" s="371" t="s">
        <v>3941</v>
      </c>
      <c r="M1407" s="372" t="s">
        <v>751</v>
      </c>
      <c r="N1407" s="373" t="s">
        <v>3942</v>
      </c>
      <c r="O1407" s="374" t="s">
        <v>3943</v>
      </c>
      <c r="P1407" s="374" t="s">
        <v>754</v>
      </c>
    </row>
    <row r="1408" spans="11:16" ht="12.75">
      <c r="K1408" s="370">
        <v>8822</v>
      </c>
      <c r="L1408" s="371" t="s">
        <v>3944</v>
      </c>
      <c r="M1408" s="372" t="s">
        <v>751</v>
      </c>
      <c r="N1408" s="373" t="s">
        <v>3945</v>
      </c>
      <c r="O1408" s="374" t="s">
        <v>3946</v>
      </c>
      <c r="P1408" s="374" t="s">
        <v>754</v>
      </c>
    </row>
  </sheetData>
  <sheetProtection/>
  <mergeCells count="6">
    <mergeCell ref="A5:C5"/>
    <mergeCell ref="A6:C6"/>
    <mergeCell ref="A1:C1"/>
    <mergeCell ref="A2:C2"/>
    <mergeCell ref="A3:C3"/>
    <mergeCell ref="A4:C4"/>
  </mergeCells>
  <printOptions gridLines="1" horizontalCentered="1"/>
  <pageMargins left="0.25" right="0.25" top="0.25" bottom="0.25" header="0.25" footer="0.25"/>
  <pageSetup blackAndWhite="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169"/>
  <sheetViews>
    <sheetView showGridLines="0" zoomScalePageLayoutView="0" workbookViewId="0" topLeftCell="A1">
      <pane ySplit="2" topLeftCell="A3" activePane="bottomLeft" state="frozen"/>
      <selection pane="topLeft" activeCell="A1" sqref="A1"/>
      <selection pane="bottomLeft" activeCell="Q9" sqref="Q9"/>
    </sheetView>
  </sheetViews>
  <sheetFormatPr defaultColWidth="9.140625" defaultRowHeight="12.75"/>
  <cols>
    <col min="1" max="1" width="35.7109375" style="56" customWidth="1"/>
    <col min="2" max="2" width="3.7109375" style="107" customWidth="1"/>
    <col min="3" max="11" width="5.7109375" style="107" customWidth="1"/>
    <col min="12" max="12" width="14.7109375" style="107" customWidth="1"/>
  </cols>
  <sheetData>
    <row r="1" spans="1:11" ht="15.75" thickBot="1">
      <c r="A1" s="1246" t="s">
        <v>381</v>
      </c>
      <c r="B1" s="1247"/>
      <c r="C1" s="1247"/>
      <c r="D1" s="1247"/>
      <c r="E1" s="1247"/>
      <c r="F1" s="1247"/>
      <c r="G1" s="1248"/>
      <c r="H1" s="1249" t="s">
        <v>382</v>
      </c>
      <c r="I1" s="1250"/>
      <c r="J1" s="1251"/>
      <c r="K1" s="251"/>
    </row>
    <row r="2" spans="1:12" ht="75">
      <c r="A2" s="1252" t="s">
        <v>383</v>
      </c>
      <c r="B2" s="1253"/>
      <c r="C2" s="247" t="s">
        <v>384</v>
      </c>
      <c r="D2" s="248" t="s">
        <v>386</v>
      </c>
      <c r="E2" s="249" t="s">
        <v>58</v>
      </c>
      <c r="F2" s="249" t="s">
        <v>59</v>
      </c>
      <c r="G2" s="250" t="s">
        <v>386</v>
      </c>
      <c r="H2" s="250" t="s">
        <v>387</v>
      </c>
      <c r="I2" s="250" t="s">
        <v>388</v>
      </c>
      <c r="J2" s="250" t="s">
        <v>389</v>
      </c>
      <c r="K2" s="306" t="s">
        <v>390</v>
      </c>
      <c r="L2" s="69"/>
    </row>
    <row r="3" spans="1:12" s="56" customFormat="1" ht="12.75">
      <c r="A3" s="126"/>
      <c r="B3" s="122"/>
      <c r="C3" s="243"/>
      <c r="D3" s="122"/>
      <c r="E3" s="122"/>
      <c r="F3" s="122"/>
      <c r="G3" s="122"/>
      <c r="H3" s="122"/>
      <c r="I3" s="122"/>
      <c r="J3" s="122"/>
      <c r="K3" s="122"/>
      <c r="L3" s="109"/>
    </row>
    <row r="4" spans="1:12" s="56" customFormat="1" ht="12.75">
      <c r="A4" s="235" t="s">
        <v>391</v>
      </c>
      <c r="B4" s="236"/>
      <c r="C4" s="244"/>
      <c r="D4" s="236"/>
      <c r="E4" s="236"/>
      <c r="F4" s="236"/>
      <c r="G4" s="236"/>
      <c r="H4" s="236"/>
      <c r="I4" s="236"/>
      <c r="J4" s="236"/>
      <c r="K4" s="236"/>
      <c r="L4" s="109"/>
    </row>
    <row r="5" spans="1:11" ht="12.75">
      <c r="A5" s="124" t="s">
        <v>392</v>
      </c>
      <c r="B5" s="117"/>
      <c r="C5" s="111"/>
      <c r="D5" s="112"/>
      <c r="E5" s="113"/>
      <c r="F5" s="113"/>
      <c r="G5" s="110"/>
      <c r="H5" s="110"/>
      <c r="I5" s="110"/>
      <c r="J5" s="110"/>
      <c r="K5" s="114"/>
    </row>
    <row r="6" spans="1:11" ht="12.75">
      <c r="A6" s="124" t="s">
        <v>393</v>
      </c>
      <c r="B6" s="117"/>
      <c r="C6" s="111"/>
      <c r="D6" s="112"/>
      <c r="E6" s="113"/>
      <c r="F6" s="113"/>
      <c r="G6" s="110"/>
      <c r="H6" s="110"/>
      <c r="I6" s="110"/>
      <c r="J6" s="110"/>
      <c r="K6" s="114"/>
    </row>
    <row r="7" spans="1:11" ht="12.75">
      <c r="A7" s="124" t="s">
        <v>394</v>
      </c>
      <c r="B7" s="117"/>
      <c r="C7" s="111"/>
      <c r="D7" s="112"/>
      <c r="E7" s="113"/>
      <c r="F7" s="113"/>
      <c r="G7" s="110"/>
      <c r="H7" s="110"/>
      <c r="I7" s="110"/>
      <c r="J7" s="110"/>
      <c r="K7" s="114"/>
    </row>
    <row r="8" spans="1:11" ht="12.75">
      <c r="A8" s="124" t="s">
        <v>395</v>
      </c>
      <c r="B8" s="117"/>
      <c r="C8" s="111"/>
      <c r="D8" s="112"/>
      <c r="E8" s="113"/>
      <c r="F8" s="113"/>
      <c r="G8" s="110"/>
      <c r="H8" s="110"/>
      <c r="I8" s="110"/>
      <c r="J8" s="110"/>
      <c r="K8" s="114"/>
    </row>
    <row r="9" spans="1:11" ht="12.75">
      <c r="A9" s="124" t="s">
        <v>396</v>
      </c>
      <c r="B9" s="117"/>
      <c r="C9" s="111"/>
      <c r="D9" s="112"/>
      <c r="E9" s="113"/>
      <c r="F9" s="113"/>
      <c r="G9" s="110"/>
      <c r="H9" s="110"/>
      <c r="I9" s="110"/>
      <c r="J9" s="110"/>
      <c r="K9" s="114"/>
    </row>
    <row r="10" spans="1:11" ht="12.75">
      <c r="A10" s="124" t="s">
        <v>397</v>
      </c>
      <c r="B10" s="117"/>
      <c r="C10" s="111"/>
      <c r="D10" s="112"/>
      <c r="E10" s="113"/>
      <c r="F10" s="113"/>
      <c r="G10" s="110"/>
      <c r="H10" s="110"/>
      <c r="I10" s="110"/>
      <c r="J10" s="110"/>
      <c r="K10" s="114"/>
    </row>
    <row r="11" spans="1:11" ht="12.75">
      <c r="A11" s="124" t="s">
        <v>398</v>
      </c>
      <c r="B11" s="117"/>
      <c r="C11" s="111"/>
      <c r="D11" s="112"/>
      <c r="E11" s="113"/>
      <c r="F11" s="113"/>
      <c r="G11" s="110"/>
      <c r="H11" s="110"/>
      <c r="I11" s="110"/>
      <c r="J11" s="110"/>
      <c r="K11" s="114"/>
    </row>
    <row r="12" spans="1:11" ht="12.75">
      <c r="A12" s="124" t="s">
        <v>399</v>
      </c>
      <c r="B12" s="117"/>
      <c r="C12" s="111"/>
      <c r="D12" s="112"/>
      <c r="E12" s="113"/>
      <c r="F12" s="113"/>
      <c r="G12" s="110"/>
      <c r="H12" s="110"/>
      <c r="I12" s="110"/>
      <c r="J12" s="110"/>
      <c r="K12" s="114"/>
    </row>
    <row r="13" spans="1:11" ht="12.75">
      <c r="A13" s="118" t="str">
        <f>CONCATENATE(B13," Column Pier")</f>
        <v>2 Column Pier</v>
      </c>
      <c r="B13" s="110">
        <v>2</v>
      </c>
      <c r="C13" s="111"/>
      <c r="D13" s="112"/>
      <c r="E13" s="113"/>
      <c r="F13" s="113"/>
      <c r="G13" s="114"/>
      <c r="H13" s="114"/>
      <c r="I13" s="114"/>
      <c r="J13" s="114"/>
      <c r="K13" s="114"/>
    </row>
    <row r="14" spans="1:14" ht="12.75">
      <c r="A14" s="118" t="str">
        <f>CONCATENATE(B14," Column Pier")</f>
        <v>3 Column Pier</v>
      </c>
      <c r="B14" s="110">
        <v>3</v>
      </c>
      <c r="C14" s="111"/>
      <c r="D14" s="112"/>
      <c r="E14" s="113"/>
      <c r="F14" s="113"/>
      <c r="G14" s="114"/>
      <c r="H14" s="114"/>
      <c r="I14" s="114"/>
      <c r="J14" s="114"/>
      <c r="K14" s="114"/>
      <c r="M14" s="1245" t="s">
        <v>2611</v>
      </c>
      <c r="N14" s="1245"/>
    </row>
    <row r="15" spans="1:14" ht="12.75">
      <c r="A15" s="118" t="str">
        <f>CONCATENATE(B15," Column Pier")</f>
        <v>4 Column Pier</v>
      </c>
      <c r="B15" s="110">
        <v>4</v>
      </c>
      <c r="C15" s="111"/>
      <c r="D15" s="112"/>
      <c r="E15" s="113"/>
      <c r="F15" s="113"/>
      <c r="G15" s="114"/>
      <c r="H15" s="114"/>
      <c r="I15" s="114"/>
      <c r="J15" s="114"/>
      <c r="K15" s="114"/>
      <c r="M15" s="1245"/>
      <c r="N15" s="1245"/>
    </row>
    <row r="16" spans="1:14" ht="12.75">
      <c r="A16" s="124" t="s">
        <v>60</v>
      </c>
      <c r="B16" s="117"/>
      <c r="C16" s="111"/>
      <c r="D16" s="112"/>
      <c r="E16" s="113"/>
      <c r="F16" s="113"/>
      <c r="G16" s="110"/>
      <c r="H16" s="110"/>
      <c r="I16" s="110"/>
      <c r="J16" s="110"/>
      <c r="K16" s="114"/>
      <c r="M16" s="1245" t="s">
        <v>997</v>
      </c>
      <c r="N16" s="1245"/>
    </row>
    <row r="17" spans="1:14" ht="12.75">
      <c r="A17" s="124" t="s">
        <v>61</v>
      </c>
      <c r="B17" s="117"/>
      <c r="C17" s="111"/>
      <c r="D17" s="112"/>
      <c r="E17" s="113"/>
      <c r="F17" s="113"/>
      <c r="G17" s="110"/>
      <c r="H17" s="110"/>
      <c r="I17" s="110"/>
      <c r="J17" s="110"/>
      <c r="K17" s="114"/>
      <c r="L17" s="69"/>
      <c r="M17" s="1245"/>
      <c r="N17" s="1245"/>
    </row>
    <row r="18" spans="1:14" ht="12.75">
      <c r="A18" s="124" t="s">
        <v>3601</v>
      </c>
      <c r="B18" s="117"/>
      <c r="C18" s="111"/>
      <c r="D18" s="112"/>
      <c r="E18" s="113"/>
      <c r="F18" s="113"/>
      <c r="G18" s="110"/>
      <c r="H18" s="110"/>
      <c r="I18" s="110"/>
      <c r="J18" s="110"/>
      <c r="K18" s="114"/>
      <c r="L18" s="69"/>
      <c r="M18" s="1245"/>
      <c r="N18" s="1245"/>
    </row>
    <row r="19" spans="1:14" ht="12.75">
      <c r="A19" s="124" t="s">
        <v>3602</v>
      </c>
      <c r="B19" s="117"/>
      <c r="C19" s="111"/>
      <c r="D19" s="112"/>
      <c r="E19" s="113"/>
      <c r="F19" s="113"/>
      <c r="G19" s="114"/>
      <c r="H19" s="114"/>
      <c r="I19" s="115"/>
      <c r="J19" s="115"/>
      <c r="K19" s="114"/>
      <c r="L19" s="69"/>
      <c r="M19" s="1245"/>
      <c r="N19" s="1245"/>
    </row>
    <row r="20" spans="1:14" s="56" customFormat="1" ht="12.75">
      <c r="A20" s="241"/>
      <c r="B20" s="122"/>
      <c r="C20" s="232"/>
      <c r="D20" s="233"/>
      <c r="E20" s="234"/>
      <c r="F20" s="234"/>
      <c r="G20" s="122"/>
      <c r="H20" s="122"/>
      <c r="I20" s="122"/>
      <c r="J20" s="122"/>
      <c r="K20" s="239"/>
      <c r="L20" s="242"/>
      <c r="M20" s="1245"/>
      <c r="N20" s="1245"/>
    </row>
    <row r="21" spans="1:14" s="56" customFormat="1" ht="12.75">
      <c r="A21" s="235" t="s">
        <v>3603</v>
      </c>
      <c r="B21" s="236"/>
      <c r="C21" s="237"/>
      <c r="D21" s="152"/>
      <c r="E21" s="152"/>
      <c r="F21" s="152"/>
      <c r="G21" s="236"/>
      <c r="H21" s="236"/>
      <c r="I21" s="236"/>
      <c r="J21" s="236"/>
      <c r="K21" s="240"/>
      <c r="L21" s="109"/>
      <c r="M21" s="1245"/>
      <c r="N21" s="1245"/>
    </row>
    <row r="22" spans="1:14" ht="12.75">
      <c r="A22" s="124" t="s">
        <v>3604</v>
      </c>
      <c r="B22" s="117"/>
      <c r="C22" s="111"/>
      <c r="D22" s="112"/>
      <c r="E22" s="113"/>
      <c r="F22" s="113"/>
      <c r="G22" s="114"/>
      <c r="H22" s="114"/>
      <c r="I22" s="114"/>
      <c r="J22" s="114"/>
      <c r="K22" s="114"/>
      <c r="L22" s="69"/>
      <c r="M22" s="1245"/>
      <c r="N22" s="1245"/>
    </row>
    <row r="23" spans="1:14" ht="12.75">
      <c r="A23" s="124" t="s">
        <v>3605</v>
      </c>
      <c r="B23" s="117"/>
      <c r="C23" s="111"/>
      <c r="D23" s="112"/>
      <c r="E23" s="113"/>
      <c r="F23" s="113"/>
      <c r="G23" s="114"/>
      <c r="H23" s="114"/>
      <c r="I23" s="114"/>
      <c r="J23" s="114"/>
      <c r="K23" s="114"/>
      <c r="M23" s="1245"/>
      <c r="N23" s="1245"/>
    </row>
    <row r="24" spans="1:14" ht="12.75">
      <c r="A24" s="124" t="s">
        <v>3606</v>
      </c>
      <c r="B24" s="117"/>
      <c r="C24" s="111"/>
      <c r="D24" s="112"/>
      <c r="E24" s="113"/>
      <c r="F24" s="113"/>
      <c r="G24" s="114"/>
      <c r="H24" s="114"/>
      <c r="I24" s="114"/>
      <c r="J24" s="114"/>
      <c r="K24" s="114"/>
      <c r="L24" s="69"/>
      <c r="M24" s="1245"/>
      <c r="N24" s="1245"/>
    </row>
    <row r="25" spans="1:14" ht="12.75">
      <c r="A25" s="124" t="s">
        <v>3607</v>
      </c>
      <c r="B25" s="117"/>
      <c r="C25" s="111"/>
      <c r="D25" s="112"/>
      <c r="E25" s="113"/>
      <c r="F25" s="113"/>
      <c r="G25" s="114"/>
      <c r="H25" s="114"/>
      <c r="I25" s="114"/>
      <c r="J25" s="114"/>
      <c r="K25" s="114"/>
      <c r="L25" s="69"/>
      <c r="M25" s="1245"/>
      <c r="N25" s="1245"/>
    </row>
    <row r="26" spans="1:14" ht="12.75">
      <c r="A26" s="124" t="s">
        <v>3608</v>
      </c>
      <c r="B26" s="117" t="s">
        <v>2054</v>
      </c>
      <c r="C26" s="111"/>
      <c r="D26" s="112"/>
      <c r="E26" s="113"/>
      <c r="F26" s="113"/>
      <c r="G26" s="114"/>
      <c r="H26" s="114"/>
      <c r="I26" s="114"/>
      <c r="J26" s="114"/>
      <c r="K26" s="114"/>
      <c r="L26" s="69"/>
      <c r="M26" s="1245"/>
      <c r="N26" s="1245"/>
    </row>
    <row r="27" spans="1:14" ht="12" customHeight="1">
      <c r="A27" s="124" t="s">
        <v>3609</v>
      </c>
      <c r="B27" s="117"/>
      <c r="C27" s="111"/>
      <c r="D27" s="112"/>
      <c r="E27" s="113"/>
      <c r="F27" s="113"/>
      <c r="G27" s="114"/>
      <c r="H27" s="114"/>
      <c r="I27" s="114"/>
      <c r="J27" s="114"/>
      <c r="K27" s="114"/>
      <c r="L27" s="69"/>
      <c r="M27" s="1245"/>
      <c r="N27" s="1245"/>
    </row>
    <row r="28" spans="1:12" ht="12" customHeight="1">
      <c r="A28" s="124" t="s">
        <v>3610</v>
      </c>
      <c r="B28" s="117" t="s">
        <v>2054</v>
      </c>
      <c r="C28" s="111"/>
      <c r="D28" s="112"/>
      <c r="E28" s="113"/>
      <c r="F28" s="113"/>
      <c r="G28" s="110"/>
      <c r="H28" s="110"/>
      <c r="I28" s="110"/>
      <c r="J28" s="110"/>
      <c r="K28" s="114"/>
      <c r="L28" s="69"/>
    </row>
    <row r="29" spans="1:12" s="56" customFormat="1" ht="12.75">
      <c r="A29" s="126"/>
      <c r="B29" s="122"/>
      <c r="C29" s="232"/>
      <c r="D29" s="234"/>
      <c r="E29" s="234"/>
      <c r="F29" s="234"/>
      <c r="G29" s="122"/>
      <c r="H29" s="122"/>
      <c r="I29" s="122"/>
      <c r="J29" s="122"/>
      <c r="K29" s="239"/>
      <c r="L29" s="109"/>
    </row>
    <row r="30" spans="1:12" s="56" customFormat="1" ht="12.75">
      <c r="A30" s="235" t="s">
        <v>3611</v>
      </c>
      <c r="B30" s="236"/>
      <c r="C30" s="237"/>
      <c r="D30" s="152"/>
      <c r="E30" s="152"/>
      <c r="F30" s="152"/>
      <c r="G30" s="236"/>
      <c r="H30" s="236"/>
      <c r="I30" s="236"/>
      <c r="J30" s="236"/>
      <c r="K30" s="240"/>
      <c r="L30" s="109"/>
    </row>
    <row r="31" spans="1:12" ht="12.75">
      <c r="A31" s="124" t="s">
        <v>3612</v>
      </c>
      <c r="B31" s="117"/>
      <c r="C31" s="111"/>
      <c r="D31" s="112"/>
      <c r="E31" s="113"/>
      <c r="F31" s="113"/>
      <c r="G31" s="110"/>
      <c r="H31" s="110"/>
      <c r="I31" s="114"/>
      <c r="J31" s="114"/>
      <c r="K31" s="114"/>
      <c r="L31" s="69"/>
    </row>
    <row r="32" spans="1:12" ht="12.75">
      <c r="A32" s="124" t="s">
        <v>439</v>
      </c>
      <c r="B32" s="117"/>
      <c r="C32" s="111"/>
      <c r="D32" s="112"/>
      <c r="E32" s="113"/>
      <c r="F32" s="113"/>
      <c r="G32" s="110"/>
      <c r="H32" s="110"/>
      <c r="I32" s="114"/>
      <c r="J32" s="114"/>
      <c r="K32" s="114"/>
      <c r="L32" s="69"/>
    </row>
    <row r="33" spans="1:12" ht="12.75">
      <c r="A33" s="124" t="s">
        <v>440</v>
      </c>
      <c r="B33" s="117"/>
      <c r="C33" s="111"/>
      <c r="D33" s="112"/>
      <c r="E33" s="113"/>
      <c r="F33" s="113"/>
      <c r="G33" s="110"/>
      <c r="H33" s="110"/>
      <c r="I33" s="114"/>
      <c r="J33" s="114"/>
      <c r="K33" s="114"/>
      <c r="L33" s="69"/>
    </row>
    <row r="34" spans="1:11" ht="12.75">
      <c r="A34" s="124" t="s">
        <v>441</v>
      </c>
      <c r="B34" s="117"/>
      <c r="C34" s="111"/>
      <c r="D34" s="112"/>
      <c r="E34" s="113"/>
      <c r="F34" s="113"/>
      <c r="G34" s="110"/>
      <c r="H34" s="110"/>
      <c r="I34" s="110"/>
      <c r="J34" s="110"/>
      <c r="K34" s="114"/>
    </row>
    <row r="35" spans="1:11" ht="12.75">
      <c r="A35" s="124" t="s">
        <v>442</v>
      </c>
      <c r="B35" s="117"/>
      <c r="C35" s="111"/>
      <c r="D35" s="112"/>
      <c r="E35" s="113"/>
      <c r="F35" s="113"/>
      <c r="G35" s="110"/>
      <c r="H35" s="110"/>
      <c r="I35" s="110"/>
      <c r="J35" s="110"/>
      <c r="K35" s="114"/>
    </row>
    <row r="36" spans="1:12" s="56" customFormat="1" ht="13.5" thickBot="1">
      <c r="A36" s="126"/>
      <c r="B36" s="122"/>
      <c r="C36" s="232"/>
      <c r="D36" s="233"/>
      <c r="E36" s="234"/>
      <c r="F36" s="234"/>
      <c r="G36" s="234"/>
      <c r="H36" s="234"/>
      <c r="I36" s="234"/>
      <c r="J36" s="234"/>
      <c r="K36" s="234"/>
      <c r="L36" s="109"/>
    </row>
    <row r="37" spans="1:12" ht="13.5" thickTop="1">
      <c r="A37" s="127" t="s">
        <v>385</v>
      </c>
      <c r="B37" s="125"/>
      <c r="C37" s="119"/>
      <c r="D37" s="120"/>
      <c r="E37" s="120"/>
      <c r="F37" s="121"/>
      <c r="G37" s="245"/>
      <c r="H37" s="246"/>
      <c r="I37" s="246"/>
      <c r="J37" s="246"/>
      <c r="K37" s="246"/>
      <c r="L37" s="109"/>
    </row>
    <row r="38" spans="1:12" s="56" customFormat="1" ht="12.75">
      <c r="A38" s="126"/>
      <c r="B38" s="122"/>
      <c r="C38" s="232"/>
      <c r="D38" s="233"/>
      <c r="E38" s="234"/>
      <c r="F38" s="234"/>
      <c r="G38" s="109"/>
      <c r="H38" s="109"/>
      <c r="I38" s="109"/>
      <c r="J38" s="109"/>
      <c r="K38" s="109"/>
      <c r="L38" s="109"/>
    </row>
    <row r="39" spans="1:12" s="56" customFormat="1" ht="12.75">
      <c r="A39" s="235" t="s">
        <v>443</v>
      </c>
      <c r="B39" s="236"/>
      <c r="C39" s="237"/>
      <c r="D39" s="238"/>
      <c r="E39" s="152"/>
      <c r="F39" s="152"/>
      <c r="G39" s="109"/>
      <c r="H39" s="109"/>
      <c r="I39" s="109"/>
      <c r="J39" s="109"/>
      <c r="K39" s="109"/>
      <c r="L39" s="109"/>
    </row>
    <row r="40" spans="1:11" ht="12.75">
      <c r="A40" s="124" t="s">
        <v>444</v>
      </c>
      <c r="B40" s="117"/>
      <c r="C40" s="111">
        <v>1</v>
      </c>
      <c r="D40" s="112"/>
      <c r="E40" s="112"/>
      <c r="F40" s="113"/>
      <c r="G40" s="109"/>
      <c r="H40" s="109"/>
      <c r="I40" s="109"/>
      <c r="J40" s="109"/>
      <c r="K40" s="109"/>
    </row>
    <row r="41" spans="1:11" ht="12.75">
      <c r="A41" s="124" t="s">
        <v>445</v>
      </c>
      <c r="B41" s="117"/>
      <c r="C41" s="111"/>
      <c r="D41" s="112"/>
      <c r="E41" s="112"/>
      <c r="F41" s="113"/>
      <c r="G41" s="109"/>
      <c r="H41" s="109"/>
      <c r="I41" s="109"/>
      <c r="J41" s="109"/>
      <c r="K41" s="109"/>
    </row>
    <row r="42" spans="1:11" ht="12.75">
      <c r="A42" s="124" t="s">
        <v>446</v>
      </c>
      <c r="B42" s="117"/>
      <c r="C42" s="111"/>
      <c r="D42" s="112"/>
      <c r="E42" s="112"/>
      <c r="F42" s="113"/>
      <c r="G42" s="109"/>
      <c r="H42" s="109"/>
      <c r="I42" s="109"/>
      <c r="J42" s="109"/>
      <c r="K42" s="109"/>
    </row>
    <row r="43" spans="1:11" ht="12.75">
      <c r="A43" s="124" t="s">
        <v>447</v>
      </c>
      <c r="B43" s="117"/>
      <c r="C43" s="111"/>
      <c r="D43" s="112"/>
      <c r="E43" s="112"/>
      <c r="F43" s="113"/>
      <c r="G43" s="109"/>
      <c r="H43" s="109"/>
      <c r="I43" s="109"/>
      <c r="J43" s="109"/>
      <c r="K43" s="109"/>
    </row>
    <row r="44" spans="1:12" s="56" customFormat="1" ht="13.5" thickBot="1">
      <c r="A44" s="126"/>
      <c r="B44" s="122"/>
      <c r="C44" s="122"/>
      <c r="D44" s="233"/>
      <c r="E44" s="234"/>
      <c r="F44" s="234"/>
      <c r="G44" s="109"/>
      <c r="H44" s="109"/>
      <c r="I44" s="109"/>
      <c r="J44" s="109"/>
      <c r="K44" s="109"/>
      <c r="L44" s="109"/>
    </row>
    <row r="45" spans="1:11" ht="13.5" thickTop="1">
      <c r="A45" s="127" t="s">
        <v>448</v>
      </c>
      <c r="B45" s="129"/>
      <c r="C45" s="125"/>
      <c r="D45" s="120"/>
      <c r="E45" s="120"/>
      <c r="F45" s="121"/>
      <c r="G45" s="109"/>
      <c r="H45" s="109"/>
      <c r="I45" s="109"/>
      <c r="J45" s="109"/>
      <c r="K45" s="109"/>
    </row>
    <row r="46" spans="2:12" s="56" customFormat="1" ht="12.75">
      <c r="B46" s="109"/>
      <c r="C46" s="109"/>
      <c r="D46" s="109"/>
      <c r="E46" s="109"/>
      <c r="F46" s="109"/>
      <c r="G46" s="109"/>
      <c r="H46" s="109"/>
      <c r="I46" s="109"/>
      <c r="J46" s="109"/>
      <c r="K46" s="109"/>
      <c r="L46" s="109"/>
    </row>
    <row r="47" spans="1:11" ht="12.75">
      <c r="A47" s="123" t="s">
        <v>449</v>
      </c>
      <c r="B47" s="128"/>
      <c r="C47" s="117"/>
      <c r="D47" s="116"/>
      <c r="E47" s="116"/>
      <c r="F47" s="114"/>
      <c r="G47" s="109"/>
      <c r="H47" s="109"/>
      <c r="I47" s="109"/>
      <c r="J47" s="109"/>
      <c r="K47" s="109"/>
    </row>
    <row r="48" ht="12.75">
      <c r="A48" s="230"/>
    </row>
    <row r="49" ht="12.75">
      <c r="A49" s="230"/>
    </row>
    <row r="50" ht="12.75">
      <c r="A50" s="51"/>
    </row>
    <row r="51" ht="12.75">
      <c r="A51" s="230"/>
    </row>
    <row r="53" ht="12.75">
      <c r="A53" s="230"/>
    </row>
    <row r="54" ht="12.75">
      <c r="A54" s="51"/>
    </row>
    <row r="55" ht="12.75">
      <c r="A55" s="3"/>
    </row>
    <row r="58" ht="12.75">
      <c r="A58" s="3"/>
    </row>
    <row r="61" ht="15">
      <c r="A61" s="231"/>
    </row>
    <row r="63" ht="12.75">
      <c r="L63" s="69"/>
    </row>
    <row r="64" ht="12.75">
      <c r="L64" s="69"/>
    </row>
    <row r="65" ht="12.75">
      <c r="L65" s="69"/>
    </row>
    <row r="66" ht="12.75">
      <c r="L66" s="69"/>
    </row>
    <row r="67" ht="12.75">
      <c r="L67" s="69"/>
    </row>
    <row r="74" ht="12.75">
      <c r="A74" s="51"/>
    </row>
    <row r="79" ht="12.75">
      <c r="A79" s="230"/>
    </row>
    <row r="82" ht="15">
      <c r="A82" s="231"/>
    </row>
    <row r="91" spans="2:12" ht="12.75">
      <c r="B91"/>
      <c r="C91"/>
      <c r="D91"/>
      <c r="E91"/>
      <c r="F91"/>
      <c r="G91"/>
      <c r="H91"/>
      <c r="I91"/>
      <c r="J91"/>
      <c r="K91"/>
      <c r="L91"/>
    </row>
    <row r="92" spans="2:12" ht="12.75">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c r="B95"/>
      <c r="C95"/>
      <c r="D95"/>
      <c r="E95"/>
      <c r="F95"/>
      <c r="G95"/>
      <c r="H95"/>
      <c r="I95"/>
      <c r="J95"/>
      <c r="K95"/>
      <c r="L95"/>
    </row>
    <row r="96" spans="2:12" ht="12.75">
      <c r="B96"/>
      <c r="C96"/>
      <c r="D96"/>
      <c r="E96"/>
      <c r="F96"/>
      <c r="G96"/>
      <c r="H96"/>
      <c r="I96"/>
      <c r="J96"/>
      <c r="K96"/>
      <c r="L96"/>
    </row>
    <row r="97" spans="2:12" ht="12.75">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c r="B100"/>
      <c r="C100"/>
      <c r="D100"/>
      <c r="E100"/>
      <c r="F100"/>
      <c r="G100"/>
      <c r="H100"/>
      <c r="I100"/>
      <c r="J100"/>
      <c r="K100"/>
      <c r="L100"/>
    </row>
    <row r="101" spans="2:12" ht="12.75">
      <c r="B101"/>
      <c r="C101"/>
      <c r="D101"/>
      <c r="E101"/>
      <c r="F101"/>
      <c r="G101"/>
      <c r="H101"/>
      <c r="I101"/>
      <c r="J101"/>
      <c r="K101"/>
      <c r="L101"/>
    </row>
    <row r="102" spans="2:12" ht="12.75">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c r="B105"/>
      <c r="C105"/>
      <c r="D105"/>
      <c r="E105"/>
      <c r="F105"/>
      <c r="G105"/>
      <c r="H105"/>
      <c r="I105"/>
      <c r="J105"/>
      <c r="K105"/>
      <c r="L105"/>
    </row>
    <row r="106" spans="2:12" ht="12.75">
      <c r="B106"/>
      <c r="C106"/>
      <c r="D106"/>
      <c r="E106"/>
      <c r="F106"/>
      <c r="G106"/>
      <c r="H106"/>
      <c r="I106"/>
      <c r="J106"/>
      <c r="K106"/>
      <c r="L106"/>
    </row>
    <row r="107" spans="2:12" ht="12.75">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c r="B110"/>
      <c r="C110"/>
      <c r="D110"/>
      <c r="E110"/>
      <c r="F110"/>
      <c r="G110"/>
      <c r="H110"/>
      <c r="I110"/>
      <c r="J110"/>
      <c r="K110"/>
      <c r="L110"/>
    </row>
    <row r="111" spans="2:12" ht="12.75">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row r="115" spans="2:12" ht="12.75">
      <c r="B115"/>
      <c r="C115"/>
      <c r="D115"/>
      <c r="E115"/>
      <c r="F115"/>
      <c r="G115"/>
      <c r="H115"/>
      <c r="I115"/>
      <c r="J115"/>
      <c r="K115"/>
      <c r="L115"/>
    </row>
    <row r="116" spans="2:12" ht="12.75">
      <c r="B116"/>
      <c r="C116"/>
      <c r="D116"/>
      <c r="E116"/>
      <c r="F116"/>
      <c r="G116"/>
      <c r="H116"/>
      <c r="I116"/>
      <c r="J116"/>
      <c r="K116"/>
      <c r="L116"/>
    </row>
    <row r="117" spans="2:12" ht="12.75">
      <c r="B117"/>
      <c r="C117"/>
      <c r="D117"/>
      <c r="E117"/>
      <c r="F117"/>
      <c r="G117"/>
      <c r="H117"/>
      <c r="I117"/>
      <c r="J117"/>
      <c r="K117"/>
      <c r="L117"/>
    </row>
    <row r="118" spans="2:12" ht="12.75">
      <c r="B118"/>
      <c r="C118"/>
      <c r="D118"/>
      <c r="E118"/>
      <c r="F118"/>
      <c r="G118"/>
      <c r="H118"/>
      <c r="I118"/>
      <c r="J118"/>
      <c r="K118"/>
      <c r="L118"/>
    </row>
    <row r="119" spans="2:12" ht="12.75">
      <c r="B119"/>
      <c r="C119"/>
      <c r="D119"/>
      <c r="E119"/>
      <c r="F119"/>
      <c r="G119"/>
      <c r="H119"/>
      <c r="I119"/>
      <c r="J119"/>
      <c r="K119"/>
      <c r="L119"/>
    </row>
    <row r="120" spans="2:12" ht="12.75">
      <c r="B120"/>
      <c r="C120"/>
      <c r="D120"/>
      <c r="E120"/>
      <c r="F120"/>
      <c r="G120"/>
      <c r="H120"/>
      <c r="I120"/>
      <c r="J120"/>
      <c r="K120"/>
      <c r="L120"/>
    </row>
    <row r="121" spans="2:12" ht="12.75">
      <c r="B121"/>
      <c r="C121"/>
      <c r="D121"/>
      <c r="E121"/>
      <c r="F121"/>
      <c r="G121"/>
      <c r="H121"/>
      <c r="I121"/>
      <c r="J121"/>
      <c r="K121"/>
      <c r="L121"/>
    </row>
    <row r="122" spans="2:12" ht="12.75">
      <c r="B122"/>
      <c r="C122"/>
      <c r="D122"/>
      <c r="E122"/>
      <c r="F122"/>
      <c r="G122"/>
      <c r="H122"/>
      <c r="I122"/>
      <c r="J122"/>
      <c r="K122"/>
      <c r="L122"/>
    </row>
    <row r="123" spans="2:12" ht="12.75">
      <c r="B123"/>
      <c r="C123"/>
      <c r="D123"/>
      <c r="E123"/>
      <c r="F123"/>
      <c r="G123"/>
      <c r="H123"/>
      <c r="I123"/>
      <c r="J123"/>
      <c r="K123"/>
      <c r="L123"/>
    </row>
    <row r="124" spans="2:12" ht="12.75">
      <c r="B124"/>
      <c r="C124"/>
      <c r="D124"/>
      <c r="E124"/>
      <c r="F124"/>
      <c r="G124"/>
      <c r="H124"/>
      <c r="I124"/>
      <c r="J124"/>
      <c r="K124"/>
      <c r="L124"/>
    </row>
    <row r="125" spans="2:12" ht="12.75">
      <c r="B125"/>
      <c r="C125"/>
      <c r="D125"/>
      <c r="E125"/>
      <c r="F125"/>
      <c r="G125"/>
      <c r="H125"/>
      <c r="I125"/>
      <c r="J125"/>
      <c r="K125"/>
      <c r="L125"/>
    </row>
    <row r="126" spans="2:12" ht="12.75">
      <c r="B126"/>
      <c r="C126"/>
      <c r="D126"/>
      <c r="E126"/>
      <c r="F126"/>
      <c r="G126"/>
      <c r="H126"/>
      <c r="I126"/>
      <c r="J126"/>
      <c r="K126"/>
      <c r="L126"/>
    </row>
    <row r="127" spans="2:12" ht="12.75">
      <c r="B127"/>
      <c r="C127"/>
      <c r="D127"/>
      <c r="E127"/>
      <c r="F127"/>
      <c r="G127"/>
      <c r="H127"/>
      <c r="I127"/>
      <c r="J127"/>
      <c r="K127"/>
      <c r="L127"/>
    </row>
    <row r="128" spans="2:12" ht="12.75">
      <c r="B128"/>
      <c r="C128"/>
      <c r="D128"/>
      <c r="E128"/>
      <c r="F128"/>
      <c r="G128"/>
      <c r="H128"/>
      <c r="I128"/>
      <c r="J128"/>
      <c r="K128"/>
      <c r="L128"/>
    </row>
    <row r="129" spans="2:12" ht="12.75">
      <c r="B129"/>
      <c r="C129"/>
      <c r="D129"/>
      <c r="E129"/>
      <c r="F129"/>
      <c r="G129"/>
      <c r="H129"/>
      <c r="I129"/>
      <c r="J129"/>
      <c r="K129"/>
      <c r="L129"/>
    </row>
    <row r="130" spans="2:12" ht="12.75">
      <c r="B130"/>
      <c r="C130"/>
      <c r="D130"/>
      <c r="E130"/>
      <c r="F130"/>
      <c r="G130"/>
      <c r="H130"/>
      <c r="I130"/>
      <c r="J130"/>
      <c r="K130"/>
      <c r="L130"/>
    </row>
    <row r="131" spans="2:12" ht="12.75">
      <c r="B131"/>
      <c r="C131"/>
      <c r="D131"/>
      <c r="E131"/>
      <c r="F131"/>
      <c r="G131"/>
      <c r="H131"/>
      <c r="I131"/>
      <c r="J131"/>
      <c r="K131"/>
      <c r="L131"/>
    </row>
    <row r="132" spans="2:12" ht="12.75">
      <c r="B132"/>
      <c r="C132"/>
      <c r="D132"/>
      <c r="E132"/>
      <c r="F132"/>
      <c r="G132"/>
      <c r="H132"/>
      <c r="I132"/>
      <c r="J132"/>
      <c r="K132"/>
      <c r="L132"/>
    </row>
    <row r="133" spans="2:12" ht="12.75">
      <c r="B133"/>
      <c r="C133"/>
      <c r="D133"/>
      <c r="E133"/>
      <c r="F133"/>
      <c r="G133"/>
      <c r="H133"/>
      <c r="I133"/>
      <c r="J133"/>
      <c r="K133"/>
      <c r="L133"/>
    </row>
    <row r="134" spans="2:12" ht="12.75">
      <c r="B134"/>
      <c r="C134"/>
      <c r="D134"/>
      <c r="E134"/>
      <c r="F134"/>
      <c r="G134"/>
      <c r="H134"/>
      <c r="I134"/>
      <c r="J134"/>
      <c r="K134"/>
      <c r="L134"/>
    </row>
    <row r="135" spans="2:12" ht="12.75">
      <c r="B135"/>
      <c r="C135"/>
      <c r="D135"/>
      <c r="E135"/>
      <c r="F135"/>
      <c r="G135"/>
      <c r="H135"/>
      <c r="I135"/>
      <c r="J135"/>
      <c r="K135"/>
      <c r="L135"/>
    </row>
    <row r="136" spans="2:12" ht="12.75">
      <c r="B136"/>
      <c r="C136"/>
      <c r="D136"/>
      <c r="E136"/>
      <c r="F136"/>
      <c r="G136"/>
      <c r="H136"/>
      <c r="I136"/>
      <c r="J136"/>
      <c r="K136"/>
      <c r="L136"/>
    </row>
    <row r="137" spans="2:12" ht="12.75">
      <c r="B137"/>
      <c r="C137"/>
      <c r="D137"/>
      <c r="E137"/>
      <c r="F137"/>
      <c r="G137"/>
      <c r="H137"/>
      <c r="I137"/>
      <c r="J137"/>
      <c r="K137"/>
      <c r="L137"/>
    </row>
    <row r="138" spans="2:12" ht="12.75">
      <c r="B138"/>
      <c r="C138"/>
      <c r="D138"/>
      <c r="E138"/>
      <c r="F138"/>
      <c r="G138"/>
      <c r="H138"/>
      <c r="I138"/>
      <c r="J138"/>
      <c r="K138"/>
      <c r="L138"/>
    </row>
    <row r="139" spans="2:12" ht="12.75">
      <c r="B139"/>
      <c r="C139"/>
      <c r="D139"/>
      <c r="E139"/>
      <c r="F139"/>
      <c r="G139"/>
      <c r="H139"/>
      <c r="I139"/>
      <c r="J139"/>
      <c r="K139"/>
      <c r="L139"/>
    </row>
    <row r="140" spans="2:12" ht="12.75">
      <c r="B140"/>
      <c r="C140"/>
      <c r="D140"/>
      <c r="E140"/>
      <c r="F140"/>
      <c r="G140"/>
      <c r="H140"/>
      <c r="I140"/>
      <c r="J140"/>
      <c r="K140"/>
      <c r="L140"/>
    </row>
    <row r="141" spans="2:12" ht="12.75">
      <c r="B141"/>
      <c r="C141"/>
      <c r="D141"/>
      <c r="E141"/>
      <c r="F141"/>
      <c r="G141"/>
      <c r="H141"/>
      <c r="I141"/>
      <c r="J141"/>
      <c r="K141"/>
      <c r="L141"/>
    </row>
    <row r="142" spans="2:12" ht="12.75">
      <c r="B142"/>
      <c r="C142"/>
      <c r="D142"/>
      <c r="E142"/>
      <c r="F142"/>
      <c r="G142"/>
      <c r="H142"/>
      <c r="I142"/>
      <c r="J142"/>
      <c r="K142"/>
      <c r="L142"/>
    </row>
    <row r="143" spans="2:12" ht="12.75">
      <c r="B143"/>
      <c r="C143"/>
      <c r="D143"/>
      <c r="E143"/>
      <c r="F143"/>
      <c r="G143"/>
      <c r="H143"/>
      <c r="I143"/>
      <c r="J143"/>
      <c r="K143"/>
      <c r="L143"/>
    </row>
    <row r="144" spans="2:12" ht="12.75">
      <c r="B144"/>
      <c r="C144"/>
      <c r="D144"/>
      <c r="E144"/>
      <c r="F144"/>
      <c r="G144"/>
      <c r="H144"/>
      <c r="I144"/>
      <c r="J144"/>
      <c r="K144"/>
      <c r="L144"/>
    </row>
    <row r="145" spans="2:12" ht="12.75">
      <c r="B145"/>
      <c r="C145"/>
      <c r="D145"/>
      <c r="E145"/>
      <c r="F145"/>
      <c r="G145"/>
      <c r="H145"/>
      <c r="I145"/>
      <c r="J145"/>
      <c r="K145"/>
      <c r="L145"/>
    </row>
    <row r="146" spans="2:12" ht="12.75">
      <c r="B146"/>
      <c r="C146"/>
      <c r="D146"/>
      <c r="E146"/>
      <c r="F146"/>
      <c r="G146"/>
      <c r="H146"/>
      <c r="I146"/>
      <c r="J146"/>
      <c r="K146"/>
      <c r="L146"/>
    </row>
    <row r="147" spans="2:12" ht="12.75">
      <c r="B147"/>
      <c r="C147"/>
      <c r="D147"/>
      <c r="E147"/>
      <c r="F147"/>
      <c r="G147"/>
      <c r="H147"/>
      <c r="I147"/>
      <c r="J147"/>
      <c r="K147"/>
      <c r="L147"/>
    </row>
    <row r="148" spans="2:12" ht="12.75">
      <c r="B148"/>
      <c r="C148"/>
      <c r="D148"/>
      <c r="E148"/>
      <c r="F148"/>
      <c r="G148"/>
      <c r="H148"/>
      <c r="I148"/>
      <c r="J148"/>
      <c r="K148"/>
      <c r="L148"/>
    </row>
    <row r="149" spans="2:12" ht="12.75">
      <c r="B149"/>
      <c r="C149"/>
      <c r="D149"/>
      <c r="E149"/>
      <c r="F149"/>
      <c r="G149"/>
      <c r="H149"/>
      <c r="I149"/>
      <c r="J149"/>
      <c r="K149"/>
      <c r="L149"/>
    </row>
    <row r="150" spans="2:12" ht="12.75">
      <c r="B150"/>
      <c r="C150"/>
      <c r="D150"/>
      <c r="E150"/>
      <c r="F150"/>
      <c r="G150"/>
      <c r="H150"/>
      <c r="I150"/>
      <c r="J150"/>
      <c r="K150"/>
      <c r="L150"/>
    </row>
    <row r="151" spans="2:12" ht="12.75">
      <c r="B151"/>
      <c r="C151"/>
      <c r="D151"/>
      <c r="E151"/>
      <c r="F151"/>
      <c r="G151"/>
      <c r="H151"/>
      <c r="I151"/>
      <c r="J151"/>
      <c r="K151"/>
      <c r="L151"/>
    </row>
    <row r="152" spans="2:12" ht="12.75">
      <c r="B152"/>
      <c r="C152"/>
      <c r="D152"/>
      <c r="E152"/>
      <c r="F152"/>
      <c r="G152"/>
      <c r="H152"/>
      <c r="I152"/>
      <c r="J152"/>
      <c r="K152"/>
      <c r="L152"/>
    </row>
    <row r="153" spans="2:12" ht="12.75">
      <c r="B153"/>
      <c r="C153"/>
      <c r="D153"/>
      <c r="E153"/>
      <c r="F153"/>
      <c r="G153"/>
      <c r="H153"/>
      <c r="I153"/>
      <c r="J153"/>
      <c r="K153"/>
      <c r="L153"/>
    </row>
    <row r="154" spans="2:12" ht="12.75">
      <c r="B154"/>
      <c r="C154"/>
      <c r="D154"/>
      <c r="E154"/>
      <c r="F154"/>
      <c r="G154"/>
      <c r="H154"/>
      <c r="I154"/>
      <c r="J154"/>
      <c r="K154"/>
      <c r="L154"/>
    </row>
    <row r="155" spans="2:12" ht="12.75">
      <c r="B155"/>
      <c r="C155"/>
      <c r="D155"/>
      <c r="E155"/>
      <c r="F155"/>
      <c r="G155"/>
      <c r="H155"/>
      <c r="I155"/>
      <c r="J155"/>
      <c r="K155"/>
      <c r="L155"/>
    </row>
    <row r="156" spans="2:12" ht="12.75">
      <c r="B156"/>
      <c r="C156"/>
      <c r="D156"/>
      <c r="E156"/>
      <c r="F156"/>
      <c r="G156"/>
      <c r="H156"/>
      <c r="I156"/>
      <c r="J156"/>
      <c r="K156"/>
      <c r="L156"/>
    </row>
    <row r="157" spans="2:12" ht="12.75">
      <c r="B157"/>
      <c r="C157"/>
      <c r="D157"/>
      <c r="E157"/>
      <c r="F157"/>
      <c r="G157"/>
      <c r="H157"/>
      <c r="I157"/>
      <c r="J157"/>
      <c r="K157"/>
      <c r="L157"/>
    </row>
    <row r="158" spans="2:12" ht="12.75">
      <c r="B158"/>
      <c r="C158"/>
      <c r="D158"/>
      <c r="E158"/>
      <c r="F158"/>
      <c r="G158"/>
      <c r="H158"/>
      <c r="I158"/>
      <c r="J158"/>
      <c r="K158"/>
      <c r="L158"/>
    </row>
    <row r="159" spans="2:12" ht="12.75">
      <c r="B159"/>
      <c r="C159"/>
      <c r="D159"/>
      <c r="E159"/>
      <c r="F159"/>
      <c r="G159"/>
      <c r="H159"/>
      <c r="I159"/>
      <c r="J159"/>
      <c r="K159"/>
      <c r="L159"/>
    </row>
    <row r="160" spans="2:12" ht="12.75">
      <c r="B160"/>
      <c r="C160"/>
      <c r="D160"/>
      <c r="E160"/>
      <c r="F160"/>
      <c r="G160"/>
      <c r="H160"/>
      <c r="I160"/>
      <c r="J160"/>
      <c r="K160"/>
      <c r="L160"/>
    </row>
    <row r="161" spans="2:12" ht="12.75">
      <c r="B161"/>
      <c r="C161"/>
      <c r="D161"/>
      <c r="E161"/>
      <c r="F161"/>
      <c r="G161"/>
      <c r="H161"/>
      <c r="I161"/>
      <c r="J161"/>
      <c r="K161"/>
      <c r="L161"/>
    </row>
    <row r="162" spans="2:12" ht="12.75">
      <c r="B162"/>
      <c r="C162"/>
      <c r="D162"/>
      <c r="E162"/>
      <c r="F162"/>
      <c r="G162"/>
      <c r="H162"/>
      <c r="I162"/>
      <c r="J162"/>
      <c r="K162"/>
      <c r="L162"/>
    </row>
    <row r="163" spans="2:12" ht="12.75">
      <c r="B163"/>
      <c r="C163"/>
      <c r="D163"/>
      <c r="E163"/>
      <c r="F163"/>
      <c r="G163"/>
      <c r="H163"/>
      <c r="I163"/>
      <c r="J163"/>
      <c r="K163"/>
      <c r="L163"/>
    </row>
    <row r="164" spans="2:12" ht="12.75">
      <c r="B164"/>
      <c r="C164"/>
      <c r="D164"/>
      <c r="E164"/>
      <c r="F164"/>
      <c r="G164"/>
      <c r="H164"/>
      <c r="I164"/>
      <c r="J164"/>
      <c r="K164"/>
      <c r="L164"/>
    </row>
    <row r="165" spans="2:12" ht="12.75">
      <c r="B165"/>
      <c r="C165"/>
      <c r="D165"/>
      <c r="E165"/>
      <c r="F165"/>
      <c r="G165"/>
      <c r="H165"/>
      <c r="I165"/>
      <c r="J165"/>
      <c r="K165"/>
      <c r="L165"/>
    </row>
    <row r="166" spans="2:12" ht="12.75">
      <c r="B166"/>
      <c r="C166"/>
      <c r="D166"/>
      <c r="E166"/>
      <c r="F166"/>
      <c r="G166"/>
      <c r="H166"/>
      <c r="I166"/>
      <c r="J166"/>
      <c r="K166"/>
      <c r="L166"/>
    </row>
    <row r="167" spans="2:12" ht="12.75">
      <c r="B167"/>
      <c r="C167"/>
      <c r="D167"/>
      <c r="E167"/>
      <c r="F167"/>
      <c r="G167"/>
      <c r="H167"/>
      <c r="I167"/>
      <c r="J167"/>
      <c r="K167"/>
      <c r="L167"/>
    </row>
    <row r="168" spans="2:12" ht="12.75">
      <c r="B168"/>
      <c r="C168"/>
      <c r="D168"/>
      <c r="E168"/>
      <c r="F168"/>
      <c r="G168"/>
      <c r="H168"/>
      <c r="I168"/>
      <c r="J168"/>
      <c r="K168"/>
      <c r="L168"/>
    </row>
    <row r="169" spans="2:12" ht="12.75">
      <c r="B169"/>
      <c r="C169"/>
      <c r="D169"/>
      <c r="E169"/>
      <c r="F169"/>
      <c r="G169"/>
      <c r="H169"/>
      <c r="I169"/>
      <c r="J169"/>
      <c r="K169"/>
      <c r="L169"/>
    </row>
  </sheetData>
  <sheetProtection password="CBEB" sheet="1" objects="1" scenarios="1"/>
  <mergeCells count="5">
    <mergeCell ref="M16:N27"/>
    <mergeCell ref="A1:G1"/>
    <mergeCell ref="H1:J1"/>
    <mergeCell ref="A2:B2"/>
    <mergeCell ref="M14:N15"/>
  </mergeCells>
  <printOptions/>
  <pageMargins left="0.75" right="0.75" top="1" bottom="1" header="0.5" footer="0.25"/>
  <pageSetup horizontalDpi="600" verticalDpi="600" orientation="portrait"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kong.ee</cp:lastModifiedBy>
  <cp:lastPrinted>2022-01-26T14:00:34Z</cp:lastPrinted>
  <dcterms:created xsi:type="dcterms:W3CDTF">1998-05-18T18:57:23Z</dcterms:created>
  <dcterms:modified xsi:type="dcterms:W3CDTF">2023-03-08T03:10:59Z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26</vt:i4>
  </property>
  <property fmtid="{D5CDD505-2E9C-101B-9397-08002B2CF9AE}" pid="3" name="Order">
    <vt:lpwstr>300.000000000000</vt:lpwstr>
  </property>
  <property fmtid="{D5CDD505-2E9C-101B-9397-08002B2CF9AE}" pid="4" name="Description0">
    <vt:lpwstr>Close Out Forms</vt:lpwstr>
  </property>
  <property fmtid="{D5CDD505-2E9C-101B-9397-08002B2CF9AE}" pid="5" name="Category">
    <vt:lpwstr>Miscellaneous</vt:lpwstr>
  </property>
  <property fmtid="{D5CDD505-2E9C-101B-9397-08002B2CF9AE}" pid="6" name="Issue Date">
    <vt:lpwstr>2023-03-08T00:00:00Z</vt:lpwstr>
  </property>
</Properties>
</file>