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5.xml" ContentType="application/vnd.openxmlformats-officedocument.spreadsheetml.comments+xml"/>
  <Override PartName="/xl/worksheets/sheet14.xml" ContentType="application/vnd.openxmlformats-officedocument.spreadsheetml.worksheet+xml"/>
  <Override PartName="/xl/comments16.xml" ContentType="application/vnd.openxmlformats-officedocument.spreadsheetml.comments+xml"/>
  <Override PartName="/xl/worksheets/sheet15.xml" ContentType="application/vnd.openxmlformats-officedocument.spreadsheetml.worksheet+xml"/>
  <Override PartName="/xl/comments17.xml" ContentType="application/vnd.openxmlformats-officedocument.spreadsheetml.comments+xml"/>
  <Override PartName="/xl/worksheets/sheet16.xml" ContentType="application/vnd.openxmlformats-officedocument.spreadsheetml.worksheet+xml"/>
  <Override PartName="/xl/comments18.xml" ContentType="application/vnd.openxmlformats-officedocument.spreadsheetml.comments+xml"/>
  <Override PartName="/xl/worksheets/sheet17.xml" ContentType="application/vnd.openxmlformats-officedocument.spreadsheetml.worksheet+xml"/>
  <Override PartName="/xl/comments19.xml" ContentType="application/vnd.openxmlformats-officedocument.spreadsheetml.comments+xml"/>
  <Override PartName="/xl/worksheets/sheet18.xml" ContentType="application/vnd.openxmlformats-officedocument.spreadsheetml.worksheet+xml"/>
  <Override PartName="/xl/comments20.xml" ContentType="application/vnd.openxmlformats-officedocument.spreadsheetml.comments+xml"/>
  <Override PartName="/xl/worksheets/sheet19.xml" ContentType="application/vnd.openxmlformats-officedocument.spreadsheetml.worksheet+xml"/>
  <Override PartName="/xl/comments21.xml" ContentType="application/vnd.openxmlformats-officedocument.spreadsheetml.comments+xml"/>
  <Override PartName="/xl/worksheets/sheet20.xml" ContentType="application/vnd.openxmlformats-officedocument.spreadsheetml.worksheet+xml"/>
  <Override PartName="/xl/comments22.xml" ContentType="application/vnd.openxmlformats-officedocument.spreadsheetml.comments+xml"/>
  <Override PartName="/xl/worksheets/sheet21.xml" ContentType="application/vnd.openxmlformats-officedocument.spreadsheetml.worksheet+xml"/>
  <Override PartName="/xl/comments23.xml" ContentType="application/vnd.openxmlformats-officedocument.spreadsheetml.comments+xml"/>
  <Override PartName="/xl/worksheets/sheet22.xml" ContentType="application/vnd.openxmlformats-officedocument.spreadsheetml.worksheet+xml"/>
  <Override PartName="/xl/comments2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15255" windowHeight="4020" tabRatio="845" activeTab="0"/>
  </bookViews>
  <sheets>
    <sheet name="Design Data" sheetId="1" r:id="rId1"/>
    <sheet name="Rand. #'s (cont.)" sheetId="2" state="veryHidden" r:id="rId2"/>
    <sheet name="Polish-Resistant Data" sheetId="3" state="veryHidden" r:id="rId3"/>
    <sheet name="Recycle Data" sheetId="4" state="veryHidden" r:id="rId4"/>
    <sheet name="Project Items" sheetId="5" r:id="rId5"/>
    <sheet name="1-Pt. Check" sheetId="6" r:id="rId6"/>
    <sheet name="Graphs" sheetId="7" r:id="rId7"/>
    <sheet name="0.45 Power Chart" sheetId="8" state="veryHidden" r:id="rId8"/>
    <sheet name="0.45 Power Chart-Master Range" sheetId="9" state="veryHidden" r:id="rId9"/>
    <sheet name="TSR" sheetId="10" r:id="rId10"/>
    <sheet name="Error" sheetId="11" state="hidden" r:id="rId11"/>
    <sheet name="Chart Data" sheetId="12" state="veryHidden" r:id="rId12"/>
    <sheet name="Workbook Edits" sheetId="13" state="veryHidden" r:id="rId13"/>
    <sheet name="discipline" sheetId="14" state="veryHidden" r:id="rId14"/>
    <sheet name="AMMIXPACK" sheetId="15" state="veryHidden" r:id="rId15"/>
    <sheet name="t_smpl" sheetId="16" state="veryHidden" r:id="rId16"/>
    <sheet name="t_cont_smpl" sheetId="17" state="veryHidden" r:id="rId17"/>
    <sheet name="t_rmks_dtl" sheetId="18" state="veryHidden" r:id="rId18"/>
    <sheet name="t_smpl_tst" sheetId="19" state="veryHidden" r:id="rId19"/>
    <sheet name="t_smpl_tstr" sheetId="20" state="veryHidden" r:id="rId20"/>
    <sheet name="t_tst_rslt_hdr" sheetId="21" state="veryHidden" r:id="rId21"/>
    <sheet name="t_tst_rslt_dtl" sheetId="22" state="veryHidden" r:id="rId22"/>
    <sheet name="t_superpave" sheetId="23" state="veryHidden" r:id="rId23"/>
    <sheet name="t_bit_conc_mixblnd" sheetId="24" state="veryHidden" r:id="rId24"/>
  </sheets>
  <externalReferences>
    <externalReference r:id="rId27"/>
    <externalReference r:id="rId28"/>
    <externalReference r:id="rId29"/>
    <externalReference r:id="rId30"/>
    <externalReference r:id="rId31"/>
  </externalReferences>
  <definedNames>
    <definedName name="_xlfn.IFERROR" hidden="1">#NAME?</definedName>
    <definedName name="Age" localSheetId="2">#REF!</definedName>
    <definedName name="Age" localSheetId="4">'[1]Drop_Downs_and_Tables'!#REF!</definedName>
    <definedName name="Age">#REF!</definedName>
    <definedName name="agg" localSheetId="2">#REF!</definedName>
    <definedName name="agg" localSheetId="4">'[1]Drop_Downs_and_Tables'!#REF!</definedName>
    <definedName name="agg">#REF!</definedName>
    <definedName name="AggMatCode">'Chart Data'!$AQ$1:$AQ$44</definedName>
    <definedName name="Aggsize" localSheetId="4">'[1]Drop_Downs_and_Tables'!#REF!</definedName>
    <definedName name="Aggsize">'Chart Data'!$AR$1:$AR$131</definedName>
    <definedName name="Answer" localSheetId="4">'[1]Drop_Downs_and_Tables'!#REF!</definedName>
    <definedName name="Answer">'[2]Drop Downs and Tables'!$A$23:$A$24</definedName>
    <definedName name="CellType" localSheetId="2">'[3]Drop_Downs_and_Tables'!#REF!</definedName>
    <definedName name="CellType" localSheetId="4">'[4]Drop_Downs_and_Tables'!#REF!</definedName>
    <definedName name="CellType" localSheetId="23">'[5]Drop_Downs_and_Tables'!#REF!</definedName>
    <definedName name="CellType" localSheetId="17">'[5]Drop_Downs_and_Tables'!#REF!</definedName>
    <definedName name="CellType" localSheetId="15">'[5]Drop_Downs_and_Tables'!#REF!</definedName>
    <definedName name="CellType" localSheetId="18">'[5]Drop_Downs_and_Tables'!#REF!</definedName>
    <definedName name="CellType" localSheetId="19">'[5]Drop_Downs_and_Tables'!#REF!</definedName>
    <definedName name="CellType" localSheetId="22">'[5]Drop_Downs_and_Tables'!#REF!</definedName>
    <definedName name="CellType" localSheetId="20">'[5]Drop_Downs_and_Tables'!#REF!</definedName>
    <definedName name="CellType">'[3]Drop_Downs_and_Tables'!#REF!</definedName>
    <definedName name="Class" localSheetId="4">'[1]Drop_Downs_and_Tables'!#REF!</definedName>
    <definedName name="Correction" localSheetId="2">#REF!</definedName>
    <definedName name="correction" localSheetId="4">'[1]Drop_Downs_and_Tables'!#REF!</definedName>
    <definedName name="correction" localSheetId="23">'[5]Drop_Downs_and_Tables'!$A$26:$A$27</definedName>
    <definedName name="correction" localSheetId="17">'[5]Drop_Downs_and_Tables'!$A$26:$A$27</definedName>
    <definedName name="correction" localSheetId="15">'[5]Drop_Downs_and_Tables'!$A$26:$A$27</definedName>
    <definedName name="correction" localSheetId="18">'[5]Drop_Downs_and_Tables'!$A$26:$A$27</definedName>
    <definedName name="correction" localSheetId="19">'[5]Drop_Downs_and_Tables'!$A$26:$A$27</definedName>
    <definedName name="correction" localSheetId="22">'[5]Drop_Downs_and_Tables'!$A$26:$A$27</definedName>
    <definedName name="correction" localSheetId="20">'[5]Drop_Downs_and_Tables'!$A$26:$A$27</definedName>
    <definedName name="Correction">#REF!</definedName>
    <definedName name="CylinderSize" localSheetId="2">#REF!</definedName>
    <definedName name="CylinderSize">#REF!</definedName>
    <definedName name="District" localSheetId="2">'[3]Drop_Downs_and_Tables'!#REF!</definedName>
    <definedName name="District" localSheetId="4">'[4]Drop_Downs_and_Tables'!#REF!</definedName>
    <definedName name="District" localSheetId="23">'[5]Drop_Downs_and_Tables'!#REF!</definedName>
    <definedName name="District" localSheetId="17">'[5]Drop_Downs_and_Tables'!#REF!</definedName>
    <definedName name="District" localSheetId="15">'[5]Drop_Downs_and_Tables'!#REF!</definedName>
    <definedName name="District" localSheetId="18">'[5]Drop_Downs_and_Tables'!#REF!</definedName>
    <definedName name="District" localSheetId="19">'[5]Drop_Downs_and_Tables'!#REF!</definedName>
    <definedName name="District" localSheetId="22">'[5]Drop_Downs_and_Tables'!#REF!</definedName>
    <definedName name="District" localSheetId="20">'[5]Drop_Downs_and_Tables'!#REF!</definedName>
    <definedName name="District">'[3]Drop_Downs_and_Tables'!#REF!</definedName>
    <definedName name="fracture" localSheetId="2">#REF!</definedName>
    <definedName name="fracture" localSheetId="4">'[1]Drop_Downs_and_Tables'!#REF!</definedName>
    <definedName name="fracture">#REF!</definedName>
    <definedName name="LabUnits">'Chart Data'!$AV$1:$AV$14</definedName>
    <definedName name="load" localSheetId="2">#REF!</definedName>
    <definedName name="load" localSheetId="4">'[1]Drop_Downs_and_Tables'!#REF!</definedName>
    <definedName name="load">#REF!</definedName>
    <definedName name="Location" localSheetId="2">'[3]Drop_Downs_and_Tables'!#REF!</definedName>
    <definedName name="Location" localSheetId="4">'[4]Drop_Downs_and_Tables'!#REF!</definedName>
    <definedName name="Location" localSheetId="23">'[5]Drop_Downs_and_Tables'!#REF!</definedName>
    <definedName name="Location" localSheetId="17">'[5]Drop_Downs_and_Tables'!#REF!</definedName>
    <definedName name="Location" localSheetId="15">'[5]Drop_Downs_and_Tables'!#REF!</definedName>
    <definedName name="Location" localSheetId="18">'[5]Drop_Downs_and_Tables'!#REF!</definedName>
    <definedName name="Location" localSheetId="19">'[5]Drop_Downs_and_Tables'!#REF!</definedName>
    <definedName name="Location" localSheetId="22">'[5]Drop_Downs_and_Tables'!#REF!</definedName>
    <definedName name="Location" localSheetId="20">'[5]Drop_Downs_and_Tables'!#REF!</definedName>
    <definedName name="Location">'[3]Drop_Downs_and_Tables'!#REF!</definedName>
    <definedName name="OptionButton8">"Option Button 8"</definedName>
    <definedName name="pass" localSheetId="23">'[5]Drop_Downs_and_Tables'!$A$48:$A$51</definedName>
    <definedName name="pass" localSheetId="17">'[5]Drop_Downs_and_Tables'!$A$48:$A$51</definedName>
    <definedName name="pass" localSheetId="15">'[5]Drop_Downs_and_Tables'!$A$48:$A$51</definedName>
    <definedName name="pass" localSheetId="18">'[5]Drop_Downs_and_Tables'!$A$48:$A$51</definedName>
    <definedName name="pass" localSheetId="19">'[5]Drop_Downs_and_Tables'!$A$48:$A$51</definedName>
    <definedName name="pass" localSheetId="22">'[5]Drop_Downs_and_Tables'!$A$48:$A$51</definedName>
    <definedName name="pass" localSheetId="20">'[5]Drop_Downs_and_Tables'!$A$48:$A$51</definedName>
    <definedName name="_xlnm.Print_Area" localSheetId="5">'1-Pt. Check'!$A$1:$H$37</definedName>
    <definedName name="_xlnm.Print_Area" localSheetId="14">'AMMIXPACK'!$A$1:$Z$248</definedName>
    <definedName name="_xlnm.Print_Area" localSheetId="11">'Chart Data'!$A$1:$J$41</definedName>
    <definedName name="_xlnm.Print_Area" localSheetId="0">'Design Data'!$A$1:$U$82</definedName>
    <definedName name="_xlnm.Print_Area" localSheetId="6">'Graphs'!$A$1:$K$171</definedName>
    <definedName name="_xlnm.Print_Area" localSheetId="2">'Polish-Resistant Data'!$A$1:$G$46</definedName>
    <definedName name="_xlnm.Print_Area" localSheetId="4">'Project Items'!$A$2:$D$46</definedName>
    <definedName name="_xlnm.Print_Area" localSheetId="1">'Rand. #''s (cont.)'!$A$1:$U$33</definedName>
    <definedName name="_xlnm.Print_Area" localSheetId="9">'TSR'!$A$1:$O$61</definedName>
    <definedName name="_xlnm.Print_Titles" localSheetId="14">'AMMIXPACK'!$1:$1</definedName>
    <definedName name="SampleUnit" localSheetId="2">#REF!</definedName>
    <definedName name="SampleUnit">#REF!</definedName>
    <definedName name="slump" localSheetId="2">#REF!</definedName>
    <definedName name="slump" localSheetId="4">'[1]Drop_Downs_and_Tables'!#REF!</definedName>
    <definedName name="slump">#REF!</definedName>
    <definedName name="SMPLSTAT" localSheetId="2">#REF!</definedName>
    <definedName name="SMPLSTAT">#REF!</definedName>
    <definedName name="SpreadsheetType" localSheetId="2">#REF!</definedName>
    <definedName name="SpreadsheetType" localSheetId="4">'[4]Drop_Downs_and_Tables'!$A$58:$A$59</definedName>
    <definedName name="SpreadsheetType">#REF!</definedName>
    <definedName name="strength" localSheetId="2">#REF!</definedName>
    <definedName name="strength" localSheetId="4">'[1]Drop_Downs_and_Tables'!#REF!</definedName>
    <definedName name="strength">#REF!</definedName>
    <definedName name="temperature" localSheetId="2">#REF!</definedName>
    <definedName name="temperature" localSheetId="4">'[1]Drop_Downs_and_Tables'!#REF!</definedName>
    <definedName name="temperature">#REF!</definedName>
    <definedName name="TotalUnits" localSheetId="2">#REF!</definedName>
    <definedName name="TotalUnits">#REF!</definedName>
    <definedName name="WhereIsThis" localSheetId="2">#REF!</definedName>
    <definedName name="WhereIsThis">#REF!</definedName>
  </definedNames>
  <calcPr fullCalcOnLoad="1"/>
</workbook>
</file>

<file path=xl/comments15.xml><?xml version="1.0" encoding="utf-8"?>
<comments xmlns="http://schemas.openxmlformats.org/spreadsheetml/2006/main">
  <authors>
    <author>bradp</author>
  </authors>
  <commentList>
    <comment ref="W142" authorId="0">
      <text>
        <r>
          <rPr>
            <b/>
            <sz val="8"/>
            <rFont val="Tahoma"/>
            <family val="2"/>
          </rPr>
          <t>bradp:</t>
        </r>
        <r>
          <rPr>
            <sz val="8"/>
            <rFont val="Tahoma"/>
            <family val="2"/>
          </rPr>
          <t xml:space="preserve">
</t>
        </r>
        <r>
          <rPr>
            <sz val="12"/>
            <rFont val="Tahoma"/>
            <family val="2"/>
          </rPr>
          <t>Label should not appear on the template</t>
        </r>
      </text>
    </comment>
    <comment ref="Z2" authorId="0">
      <text>
        <r>
          <rPr>
            <b/>
            <sz val="8"/>
            <rFont val="Tahoma"/>
            <family val="2"/>
          </rPr>
          <t>bradp:</t>
        </r>
        <r>
          <rPr>
            <sz val="8"/>
            <rFont val="Tahoma"/>
            <family val="2"/>
          </rPr>
          <t xml:space="preserve">
</t>
        </r>
        <r>
          <rPr>
            <b/>
            <sz val="8"/>
            <rFont val="Tahoma"/>
            <family val="2"/>
          </rPr>
          <t>UNABLE TO DO THIS DUE TO THE NUMBER OF SYNTAX ROWS REQUIRED TO BUILD THIS TEMPLATE (I.E., APPROACHING 1000 ROWS)</t>
        </r>
      </text>
    </comment>
  </commentList>
</comments>
</file>

<file path=xl/comments16.xml><?xml version="1.0" encoding="utf-8"?>
<comments xmlns="http://schemas.openxmlformats.org/spreadsheetml/2006/main">
  <authors>
    <author>Brad Parks</author>
    <author>bradp</author>
  </authors>
  <commentList>
    <comment ref="A1" authorId="0">
      <text>
        <r>
          <rPr>
            <b/>
            <sz val="10"/>
            <rFont val="Tahoma"/>
            <family val="2"/>
          </rPr>
          <t>Brad Parks:</t>
        </r>
        <r>
          <rPr>
            <sz val="10"/>
            <rFont val="Tahoma"/>
            <family val="2"/>
          </rPr>
          <t xml:space="preserve">
c = comment row
d = current system date row</t>
        </r>
      </text>
    </comment>
    <comment ref="M5" authorId="1">
      <text>
        <r>
          <rPr>
            <b/>
            <sz val="8"/>
            <rFont val="Tahoma"/>
            <family val="2"/>
          </rPr>
          <t>bradp:</t>
        </r>
        <r>
          <rPr>
            <sz val="8"/>
            <rFont val="Tahoma"/>
            <family val="2"/>
          </rPr>
          <t xml:space="preserve">
In other disciplines, this is "System Date the sample was successfully imported into SiteManager."</t>
        </r>
      </text>
    </comment>
    <comment ref="U5" authorId="1">
      <text>
        <r>
          <rPr>
            <b/>
            <sz val="8"/>
            <rFont val="Tahoma"/>
            <family val="2"/>
          </rPr>
          <t>bradp:</t>
        </r>
        <r>
          <rPr>
            <sz val="8"/>
            <rFont val="Tahoma"/>
            <family val="2"/>
          </rPr>
          <t xml:space="preserve">
Still want the label "Sample Date"?</t>
        </r>
      </text>
    </comment>
  </commentList>
</comments>
</file>

<file path=xl/comments17.xml><?xml version="1.0" encoding="utf-8"?>
<comments xmlns="http://schemas.openxmlformats.org/spreadsheetml/2006/main">
  <authors>
    <author>Brad Parks</author>
  </authors>
  <commentList>
    <comment ref="A1" authorId="0">
      <text>
        <r>
          <rPr>
            <b/>
            <sz val="10"/>
            <rFont val="Tahoma"/>
            <family val="2"/>
          </rPr>
          <t>Brad Parks:</t>
        </r>
        <r>
          <rPr>
            <sz val="10"/>
            <rFont val="Tahoma"/>
            <family val="2"/>
          </rPr>
          <t xml:space="preserve">
c = comment row
d = current system date row</t>
        </r>
      </text>
    </comment>
  </commentList>
</comments>
</file>

<file path=xl/comments18.xml><?xml version="1.0" encoding="utf-8"?>
<comments xmlns="http://schemas.openxmlformats.org/spreadsheetml/2006/main">
  <authors>
    <author>Brad Parks</author>
  </authors>
  <commentList>
    <comment ref="A1" authorId="0">
      <text>
        <r>
          <rPr>
            <b/>
            <sz val="10"/>
            <rFont val="Tahoma"/>
            <family val="2"/>
          </rPr>
          <t>Brad Parks:</t>
        </r>
        <r>
          <rPr>
            <sz val="10"/>
            <rFont val="Tahoma"/>
            <family val="2"/>
          </rPr>
          <t xml:space="preserve">
c = comment row
d = current system date row</t>
        </r>
      </text>
    </comment>
  </commentList>
</comments>
</file>

<file path=xl/comments19.xml><?xml version="1.0" encoding="utf-8"?>
<comments xmlns="http://schemas.openxmlformats.org/spreadsheetml/2006/main">
  <authors>
    <author>Brad Parks</author>
  </authors>
  <commentList>
    <comment ref="A1" authorId="0">
      <text>
        <r>
          <rPr>
            <b/>
            <sz val="10"/>
            <rFont val="Tahoma"/>
            <family val="2"/>
          </rPr>
          <t>Brad Parks:</t>
        </r>
        <r>
          <rPr>
            <sz val="10"/>
            <rFont val="Tahoma"/>
            <family val="2"/>
          </rPr>
          <t xml:space="preserve">
c = comment row
d = current system date row</t>
        </r>
      </text>
    </comment>
  </commentList>
</comments>
</file>

<file path=xl/comments20.xml><?xml version="1.0" encoding="utf-8"?>
<comments xmlns="http://schemas.openxmlformats.org/spreadsheetml/2006/main">
  <authors>
    <author>Brad Parks</author>
  </authors>
  <commentList>
    <comment ref="A1" authorId="0">
      <text>
        <r>
          <rPr>
            <b/>
            <sz val="10"/>
            <rFont val="Tahoma"/>
            <family val="2"/>
          </rPr>
          <t>Brad Parks:</t>
        </r>
        <r>
          <rPr>
            <sz val="10"/>
            <rFont val="Tahoma"/>
            <family val="2"/>
          </rPr>
          <t xml:space="preserve">
c = comment row
d = current system date row</t>
        </r>
      </text>
    </comment>
  </commentList>
</comments>
</file>

<file path=xl/comments21.xml><?xml version="1.0" encoding="utf-8"?>
<comments xmlns="http://schemas.openxmlformats.org/spreadsheetml/2006/main">
  <authors>
    <author>Brad Parks</author>
  </authors>
  <commentList>
    <comment ref="A1" authorId="0">
      <text>
        <r>
          <rPr>
            <b/>
            <sz val="10"/>
            <rFont val="Tahoma"/>
            <family val="2"/>
          </rPr>
          <t>Brad Parks:</t>
        </r>
        <r>
          <rPr>
            <sz val="10"/>
            <rFont val="Tahoma"/>
            <family val="2"/>
          </rPr>
          <t xml:space="preserve">
c = comment row
d = current system date row</t>
        </r>
      </text>
    </comment>
  </commentList>
</comments>
</file>

<file path=xl/comments22.xml><?xml version="1.0" encoding="utf-8"?>
<comments xmlns="http://schemas.openxmlformats.org/spreadsheetml/2006/main">
  <authors>
    <author>Brad Parks</author>
    <author>bradp</author>
  </authors>
  <commentList>
    <comment ref="A1" authorId="0">
      <text>
        <r>
          <rPr>
            <b/>
            <sz val="10"/>
            <rFont val="Tahoma"/>
            <family val="2"/>
          </rPr>
          <t>Brad Parks:</t>
        </r>
        <r>
          <rPr>
            <sz val="10"/>
            <rFont val="Tahoma"/>
            <family val="2"/>
          </rPr>
          <t xml:space="preserve">
c = comment row
d = current system date row</t>
        </r>
      </text>
    </comment>
    <comment ref="G4" authorId="1">
      <text>
        <r>
          <rPr>
            <b/>
            <sz val="8"/>
            <rFont val="Tahoma"/>
            <family val="2"/>
          </rPr>
          <t>bradp:</t>
        </r>
        <r>
          <rPr>
            <sz val="8"/>
            <rFont val="Tahoma"/>
            <family val="2"/>
          </rPr>
          <t xml:space="preserve">
9/15/06 - Changed Date Format to be consistent for all KYTC templates </t>
        </r>
      </text>
    </comment>
  </commentList>
</comments>
</file>

<file path=xl/comments23.xml><?xml version="1.0" encoding="utf-8"?>
<comments xmlns="http://schemas.openxmlformats.org/spreadsheetml/2006/main">
  <authors>
    <author>Brad Parks</author>
    <author>bradp</author>
  </authors>
  <commentList>
    <comment ref="A1" authorId="0">
      <text>
        <r>
          <rPr>
            <b/>
            <sz val="10"/>
            <rFont val="Tahoma"/>
            <family val="2"/>
          </rPr>
          <t>Brad Parks:</t>
        </r>
        <r>
          <rPr>
            <sz val="10"/>
            <rFont val="Tahoma"/>
            <family val="2"/>
          </rPr>
          <t xml:space="preserve">
c = comment row
d = current system date row</t>
        </r>
      </text>
    </comment>
    <comment ref="H8" authorId="1">
      <text>
        <r>
          <rPr>
            <b/>
            <sz val="8"/>
            <rFont val="Tahoma"/>
            <family val="2"/>
          </rPr>
          <t>bradp:</t>
        </r>
        <r>
          <rPr>
            <sz val="8"/>
            <rFont val="Tahoma"/>
            <family val="2"/>
          </rPr>
          <t xml:space="preserve">
NEED ASSIGNMENT ON Design Data Tab and then will link.</t>
        </r>
      </text>
    </comment>
  </commentList>
</comments>
</file>

<file path=xl/comments24.xml><?xml version="1.0" encoding="utf-8"?>
<comments xmlns="http://schemas.openxmlformats.org/spreadsheetml/2006/main">
  <authors>
    <author>Brad Parks</author>
  </authors>
  <commentList>
    <comment ref="A1" authorId="0">
      <text>
        <r>
          <rPr>
            <b/>
            <sz val="10"/>
            <rFont val="Tahoma"/>
            <family val="2"/>
          </rPr>
          <t>Brad Parks:</t>
        </r>
        <r>
          <rPr>
            <sz val="10"/>
            <rFont val="Tahoma"/>
            <family val="2"/>
          </rPr>
          <t xml:space="preserve">
c = comment row
d = current system date row</t>
        </r>
      </text>
    </comment>
  </commentList>
</comments>
</file>

<file path=xl/comments5.xml><?xml version="1.0" encoding="utf-8"?>
<comments xmlns="http://schemas.openxmlformats.org/spreadsheetml/2006/main">
  <authors>
    <author>bradp</author>
  </authors>
  <commentList>
    <comment ref="D2" authorId="0">
      <text>
        <r>
          <rPr>
            <b/>
            <sz val="8"/>
            <rFont val="Tahoma"/>
            <family val="2"/>
          </rPr>
          <t>bradp:</t>
        </r>
        <r>
          <rPr>
            <sz val="8"/>
            <rFont val="Tahoma"/>
            <family val="2"/>
          </rPr>
          <t xml:space="preserve">
This is just for visual verification;  this will not load into SM.</t>
        </r>
      </text>
    </comment>
  </commentList>
</comments>
</file>

<file path=xl/sharedStrings.xml><?xml version="1.0" encoding="utf-8"?>
<sst xmlns="http://schemas.openxmlformats.org/spreadsheetml/2006/main" count="5363" uniqueCount="2591">
  <si>
    <t>M280</t>
  </si>
  <si>
    <t>M288</t>
  </si>
  <si>
    <t>Complete SGC Des.</t>
  </si>
  <si>
    <t>Fixed "Hide" &amp; "UnHide Macros; Fixed District assignement on discipline tab.</t>
  </si>
  <si>
    <t>1-pt. SGC Des.</t>
  </si>
  <si>
    <t>App.-Ref. Mix.</t>
  </si>
  <si>
    <t>1-pt. Check</t>
  </si>
  <si>
    <t>TOTAL</t>
  </si>
  <si>
    <t>Dry Strength w/o add. (psi)</t>
  </si>
  <si>
    <t>Wet Strength w/o add. (psi)</t>
  </si>
  <si>
    <t>% Final Saturation w/o Add.</t>
  </si>
  <si>
    <t>% Initial Saturation w/o Add.</t>
  </si>
  <si>
    <t>% Air Voids w/o add.</t>
  </si>
  <si>
    <t>Tracks Pre-Production Workbook Changes</t>
  </si>
  <si>
    <t>Date</t>
  </si>
  <si>
    <t>Initials</t>
  </si>
  <si>
    <t>Description</t>
  </si>
  <si>
    <t>BGP</t>
  </si>
  <si>
    <t>discipline_id</t>
  </si>
  <si>
    <t>The Approver must have active "SUPERPAVE MIX DESIGN TECHNOLOGIST" Sampler qualification (and therefore have a SM User ID) for a Material Category of "ASPHALT-MIX DESIGN".</t>
  </si>
  <si>
    <t>discipline_version</t>
  </si>
  <si>
    <t>Special Processing</t>
  </si>
  <si>
    <t>d</t>
  </si>
  <si>
    <t>c</t>
  </si>
  <si>
    <t>SM Table</t>
  </si>
  <si>
    <t>t_smpl</t>
  </si>
  <si>
    <t>SM Column</t>
  </si>
  <si>
    <t>smpl_id</t>
  </si>
  <si>
    <t>acpt_meth_t</t>
  </si>
  <si>
    <t>auth_by_cms_uid</t>
  </si>
  <si>
    <t>auth_dt</t>
  </si>
  <si>
    <t>cms_uid</t>
  </si>
  <si>
    <t>cntrl_nbr</t>
  </si>
  <si>
    <t>cntrl_t</t>
  </si>
  <si>
    <t>geog_area_t</t>
  </si>
  <si>
    <t>intd_use_txt</t>
  </si>
  <si>
    <t>last_modfd_dt</t>
  </si>
  <si>
    <t>last_modfd_uid</t>
  </si>
  <si>
    <t>log_dt</t>
  </si>
  <si>
    <t>matl_cd</t>
  </si>
  <si>
    <t>offst</t>
  </si>
  <si>
    <t>plant_id</t>
  </si>
  <si>
    <t>prodr_supp_cd</t>
  </si>
  <si>
    <t>rel_smpl_id</t>
  </si>
  <si>
    <t>rmrks_id</t>
  </si>
  <si>
    <t>smpl_dsn_t</t>
  </si>
  <si>
    <t>smpl_dt</t>
  </si>
  <si>
    <t>smpl_mix_id</t>
  </si>
  <si>
    <t>smpl_t</t>
  </si>
  <si>
    <t>smpld_by</t>
  </si>
  <si>
    <t>sta</t>
  </si>
  <si>
    <t>stat_t</t>
  </si>
  <si>
    <t>witnes_by_cms_uid</t>
  </si>
  <si>
    <t>prod_nm</t>
  </si>
  <si>
    <t>plant_t</t>
  </si>
  <si>
    <t>revise_smpl_id</t>
  </si>
  <si>
    <t>smpl_origin</t>
  </si>
  <si>
    <t>smpld_fr_txt</t>
  </si>
  <si>
    <t>unt_t</t>
  </si>
  <si>
    <t>mnfctr_cd</t>
  </si>
  <si>
    <t>twn</t>
  </si>
  <si>
    <t>buy_usa_ind</t>
  </si>
  <si>
    <t>buy_usa_rqrdmt_t</t>
  </si>
  <si>
    <t>ref</t>
  </si>
  <si>
    <t>seal_nbr</t>
  </si>
  <si>
    <t>smpl_sz</t>
  </si>
  <si>
    <t>reqst_by_nm</t>
  </si>
  <si>
    <t>std_rmrks_ind</t>
  </si>
  <si>
    <t>smpl_lock_ind</t>
  </si>
  <si>
    <t>dstnc_fnsh_grd</t>
  </si>
  <si>
    <t>dstnc_fnsh_grd_unt</t>
  </si>
  <si>
    <t>ref_doc</t>
  </si>
  <si>
    <t>sz_unt_t</t>
  </si>
  <si>
    <t>lock_type</t>
  </si>
  <si>
    <t>locked_by</t>
  </si>
  <si>
    <t>lock_dt</t>
  </si>
  <si>
    <t>lev1_office_ind</t>
  </si>
  <si>
    <t>lev2_office_nbr</t>
  </si>
  <si>
    <t>lev3_office_nbr</t>
  </si>
  <si>
    <t>lev4_office_nbr</t>
  </si>
  <si>
    <t>Logical Validation</t>
  </si>
  <si>
    <t>DEGF</t>
  </si>
  <si>
    <t>Existing on t_cd_tbl_dtl (cd_id)
AND t_cd_tbl_dtl.tbl_id='TEMP'</t>
  </si>
  <si>
    <r>
      <t xml:space="preserve">Revised the following edits as discussed with Troy on 8/30/06:
- "Sampler", "Tester", "Authorizer" edits to be more complete;
- t_smpl_tst.tst_meth to check t_tst_fee_sched
- Add district to discipline tab
- Re-validate authorizer (&amp; witnessed by)  [NOTE: no changes in any discipline]
- Add code table check for t_smpl.unt_t where missing
</t>
    </r>
    <r>
      <rPr>
        <sz val="10"/>
        <color indexed="10"/>
        <rFont val="Arial"/>
        <family val="2"/>
      </rPr>
      <t>- Redo format of DATE conversion on AMMIXPACK Test Template</t>
    </r>
    <r>
      <rPr>
        <sz val="10"/>
        <rFont val="Arial"/>
        <family val="2"/>
      </rPr>
      <t xml:space="preserve">
</t>
    </r>
    <r>
      <rPr>
        <sz val="10"/>
        <color indexed="10"/>
        <rFont val="Arial"/>
        <family val="2"/>
      </rPr>
      <t>- Replace t_superpave key edit with t_cont_streq_matl table (rather than t_cont_itm)
- Comment out std_rmrks_ind on t_smpl tab to be consistent with CONCMIX</t>
    </r>
    <r>
      <rPr>
        <sz val="10"/>
        <rFont val="Arial"/>
        <family val="2"/>
      </rPr>
      <t xml:space="preserve">
- Review Repr_Qty on all spreadsheet   [NOTE: no changes in any discipline]
Revised the following due to Committee decisions:
- Revise Test Start, Est. Compl., and Actual Compl. Dates (as specified in updated procedures)</t>
    </r>
  </si>
  <si>
    <t>Existing on t_cd_tbl_dtl (cd_id)
AND t_cd_tbl_dtl.tbl_id='DSNTYPE'</t>
  </si>
  <si>
    <t>Binder Material</t>
  </si>
  <si>
    <t>Aggregate Material 1</t>
  </si>
  <si>
    <t>Aggregate Material 2</t>
  </si>
  <si>
    <t>Aggregate Material 3</t>
  </si>
  <si>
    <t>Aggregate Material 4</t>
  </si>
  <si>
    <t>Aggregate Material 5</t>
  </si>
  <si>
    <t>Aggregate Material 6</t>
  </si>
  <si>
    <t>LABEL: '"WeighUp"</t>
  </si>
  <si>
    <t>LABEL: MIXTURE DESIGN APPROVAL INFORMATION</t>
  </si>
  <si>
    <t>LABEL: Design Property</t>
  </si>
  <si>
    <t>LABEL: Design Value</t>
  </si>
  <si>
    <t>LABEL: Criteria</t>
  </si>
  <si>
    <t>LABEL: RAP Information</t>
  </si>
  <si>
    <t>LABEL: Reference Information</t>
  </si>
  <si>
    <t>No duplicates of key (highlighted in yellow);
IF Sample ID "blank", THEN skip to next record</t>
  </si>
  <si>
    <t>Existing on t_cd_tbl_dtl (cd_id)
AND t_cd_tbl_dtl.tbl_id='ACPTMETH'</t>
  </si>
  <si>
    <t>Existing on t_matl_user 
AND t_matl_user.sm_user_ind='Y'</t>
  </si>
  <si>
    <t>Existing on t_cd_tbl_dtl (cd_id)
AND t_cd_tbl_dtl.tbl_id='GEOGAREA'</t>
  </si>
  <si>
    <t>Existing on t_matl
AND t.matl_actvty_stat_t = "A"</t>
  </si>
  <si>
    <t>Existing on t_prodr_supp
AND t_prodr_supp.actvty_stat_t = "A"
AND smpl_dt (below) is between 
            t_prodr_supp_matl.effdt &amp; exp_dt
            (for the matl_cd above)</t>
  </si>
  <si>
    <t>Existing on t_cd_tbl_dtl (cd_id)
AND t_cd_tbl_dtl.tbl_id='SMPLDSN'</t>
  </si>
  <si>
    <t>Existing on t_cd_tbl_dtl (cd_id)
AND t_cd_tbl_dtl.tbl_id='SMPLTYPE'</t>
  </si>
  <si>
    <t>Existing on t_cd_tbl_dtl (cd_id)
AND t_cd_tbl_dtl.tbl_id='SMPLSTAT'</t>
  </si>
  <si>
    <t>Comment</t>
  </si>
  <si>
    <t>Prefixed Lab ID with 'C' or 'T' to designate Contractor or KYTC lab.</t>
  </si>
  <si>
    <t>Embed code table in spreadsheet</t>
  </si>
  <si>
    <t>SM User ID from Header</t>
  </si>
  <si>
    <t>Current system date</t>
  </si>
  <si>
    <t>Derived from first two characters of Sample ID</t>
  </si>
  <si>
    <t>The Date Received should be updated each time the spreadsheet received, i.e., including corrections.</t>
  </si>
  <si>
    <t>Comes from t_rmks_dtl tab
(Only QC &amp; QA have active remarks - not active for INFO Samples)</t>
  </si>
  <si>
    <t>This will be the date when the Contractor submitted the spreadsheet.</t>
  </si>
  <si>
    <t>Long Description</t>
  </si>
  <si>
    <t xml:space="preserve">SiteManager 
Sample ID </t>
  </si>
  <si>
    <t>Acceptance Method</t>
  </si>
  <si>
    <t>Authorizer SM User ID</t>
  </si>
  <si>
    <t>Authorization Date</t>
  </si>
  <si>
    <t>Sample "Creator" 
SM User ID</t>
  </si>
  <si>
    <t>Control Number</t>
  </si>
  <si>
    <t>Control Type</t>
  </si>
  <si>
    <t>Geographic Area</t>
  </si>
  <si>
    <t>Intended Use (of material sampled)</t>
  </si>
  <si>
    <t>Last Modified Date</t>
  </si>
  <si>
    <t>Last Modified User ID</t>
  </si>
  <si>
    <t>Sample Logged Date</t>
  </si>
  <si>
    <t>Material Code</t>
  </si>
  <si>
    <t>Offset</t>
  </si>
  <si>
    <t>Plant ID</t>
  </si>
  <si>
    <t>Producer / Supplier</t>
  </si>
  <si>
    <t>Related Sample ID</t>
  </si>
  <si>
    <t>Remarks ID</t>
  </si>
  <si>
    <t>Mix Design Type</t>
  </si>
  <si>
    <t>Sample Date</t>
  </si>
  <si>
    <t>Mix ID</t>
  </si>
  <si>
    <t>Sample Type</t>
  </si>
  <si>
    <t>Sampling Technician (SM User ID)</t>
  </si>
  <si>
    <t>Station</t>
  </si>
  <si>
    <t>Sample Status</t>
  </si>
  <si>
    <t xml:space="preserve">Sampling KYTC Witness SM User ID </t>
  </si>
  <si>
    <t>Product Name</t>
  </si>
  <si>
    <t>Plant Type</t>
  </si>
  <si>
    <t>Revised Sample ID</t>
  </si>
  <si>
    <t>Sample Origin</t>
  </si>
  <si>
    <t>Sample From</t>
  </si>
  <si>
    <t>Repr Material Quantity Units</t>
  </si>
  <si>
    <t>Manufacturer</t>
  </si>
  <si>
    <t>Town (where sampled)</t>
  </si>
  <si>
    <t>Buy USA Indicator</t>
  </si>
  <si>
    <t>Buy USA Requirement Type</t>
  </si>
  <si>
    <t>Represented Material Quantity</t>
  </si>
  <si>
    <t>Reference</t>
  </si>
  <si>
    <t>ns1:init_n_dnsty_m</t>
  </si>
  <si>
    <t>ns1:max_n_dnsty_m</t>
  </si>
  <si>
    <t>ns1:dsn_n_dnsty_m</t>
  </si>
  <si>
    <t>ns1:init_n_gmm_p</t>
  </si>
  <si>
    <t>ns1:max_n_gmm_p</t>
  </si>
  <si>
    <t>ns1:esals_nbr</t>
  </si>
  <si>
    <t>ns1:opt_ac_pct_tot_wt</t>
  </si>
  <si>
    <t>ns1:dust_proprtn_p</t>
  </si>
  <si>
    <t>ns1:vma_p</t>
  </si>
  <si>
    <t>ns1:vfa_p</t>
  </si>
  <si>
    <t>ns1:lotmn_tsr_m</t>
  </si>
  <si>
    <t>ns1:sand_equiv_tst</t>
  </si>
  <si>
    <t>ns1:max_spc_gr</t>
  </si>
  <si>
    <t>ns1:bulk_spc_gr_m</t>
  </si>
  <si>
    <t>Hamilton &amp; Hinkle @ Georgetown (Drum #1)</t>
  </si>
  <si>
    <t>ns1:mix_temp</t>
  </si>
  <si>
    <t>ns1:mix_temp_unt</t>
  </si>
  <si>
    <t>ns1:cmpct_temp</t>
  </si>
  <si>
    <t>ns1:cmpct_temp_unt</t>
  </si>
  <si>
    <t>ns1:high_air_temp</t>
  </si>
  <si>
    <t>ns1:high_air_temp_unt</t>
  </si>
  <si>
    <t>ns1:rmrks_id</t>
  </si>
  <si>
    <t>ns1:last_modfd_uid</t>
  </si>
  <si>
    <t>ns1:last_modfd_dt</t>
  </si>
  <si>
    <t>ns1:air_voids_p</t>
  </si>
  <si>
    <t>Sublot Sample</t>
  </si>
  <si>
    <t>Sample Size</t>
  </si>
  <si>
    <t>Name of Sample Requester</t>
  </si>
  <si>
    <t>Standard Remarks Included Indicator</t>
  </si>
  <si>
    <t>Sample Locked Indicator</t>
  </si>
  <si>
    <t>Distance From Finished Grade</t>
  </si>
  <si>
    <t>Assigned new "Template Status" code table value in t_tst_rslt_dtl.F2 based on the value in t_smpl.smpl_stat (Global Template Change).</t>
  </si>
  <si>
    <t>Template Status (TEMPSTAT)</t>
  </si>
  <si>
    <r>
      <t xml:space="preserve">Type &amp; Size   </t>
    </r>
    <r>
      <rPr>
        <b/>
        <sz val="10"/>
        <rFont val="Arial"/>
        <family val="2"/>
      </rPr>
      <t>AND</t>
    </r>
    <r>
      <rPr>
        <sz val="10"/>
        <rFont val="Arial"/>
        <family val="2"/>
      </rPr>
      <t xml:space="preserve">
CHOOSE CASE tst_fld_sn
</t>
    </r>
    <r>
      <rPr>
        <sz val="10"/>
        <color indexed="10"/>
        <rFont val="Arial"/>
        <family val="2"/>
      </rPr>
      <t xml:space="preserve">      CASE </t>
    </r>
    <r>
      <rPr>
        <b/>
        <sz val="10"/>
        <color indexed="10"/>
        <rFont val="Arial"/>
        <family val="2"/>
      </rPr>
      <t>2   [Code Table check]</t>
    </r>
    <r>
      <rPr>
        <sz val="10"/>
        <color indexed="10"/>
        <rFont val="Arial"/>
        <family val="2"/>
      </rPr>
      <t xml:space="preserve">
            Existing on t_cd_tbl_dtl (cd_id)
            AND t_cd_tbl_dtl.tbl_id='TEMPSTAT'
</t>
    </r>
    <r>
      <rPr>
        <sz val="10"/>
        <rFont val="Arial"/>
        <family val="2"/>
      </rPr>
      <t xml:space="preserve">      ENDCASE</t>
    </r>
  </si>
  <si>
    <t>Distance From Finished Grade Unit</t>
  </si>
  <si>
    <t>Reference Document</t>
  </si>
  <si>
    <t>Sample Size Unit</t>
  </si>
  <si>
    <t>Sample Lock Type</t>
  </si>
  <si>
    <t>Sample Locked By (SM User ID)</t>
  </si>
  <si>
    <t>Sample Lock Date</t>
  </si>
  <si>
    <t>Sample Lock Level 1 Office</t>
  </si>
  <si>
    <t>Sample Lock Level 2 Office</t>
  </si>
  <si>
    <t>Sample Lock Level 3 Office</t>
  </si>
  <si>
    <t>Sample Lock Level 4 Office</t>
  </si>
  <si>
    <t>MDA</t>
  </si>
  <si>
    <t>COMP</t>
  </si>
  <si>
    <t>x</t>
  </si>
  <si>
    <t>cont_id</t>
  </si>
  <si>
    <t>Contract ID</t>
  </si>
  <si>
    <t>Project Number</t>
  </si>
  <si>
    <t>Line Item Number</t>
  </si>
  <si>
    <t>Represented Quantity</t>
  </si>
  <si>
    <t>t_rmrks_dtl</t>
  </si>
  <si>
    <t>rmrks_t</t>
  </si>
  <si>
    <t>rmrks_sn</t>
  </si>
  <si>
    <t>rmrks_txt_fld</t>
  </si>
  <si>
    <t>Remark ID</t>
  </si>
  <si>
    <t>Remark Type</t>
  </si>
  <si>
    <t>Remark Sequence Number</t>
  </si>
  <si>
    <t>Remarks</t>
  </si>
  <si>
    <t>GEN</t>
  </si>
  <si>
    <t>t_smpl_tst</t>
  </si>
  <si>
    <t>tst_meth</t>
  </si>
  <si>
    <t>smpl_tst_nbr</t>
  </si>
  <si>
    <t>lab_id</t>
  </si>
  <si>
    <t>chrg_amt</t>
  </si>
  <si>
    <t>strt_dt</t>
  </si>
  <si>
    <t>est_cmpl_dt</t>
  </si>
  <si>
    <t>actl_cmpl_dt</t>
  </si>
  <si>
    <t>Existing on t_qualf_lab</t>
  </si>
  <si>
    <t>Lab ID</t>
  </si>
  <si>
    <t>Test Method</t>
  </si>
  <si>
    <t>Test Number</t>
  </si>
  <si>
    <t>SM Laboratory ID</t>
  </si>
  <si>
    <t>Charge Amount</t>
  </si>
  <si>
    <t>Actual Completion Date</t>
  </si>
  <si>
    <t>t_smpl_tstr</t>
  </si>
  <si>
    <t>tst_id</t>
  </si>
  <si>
    <t xml:space="preserve">No duplicates of key (highlighted in yellow);
</t>
  </si>
  <si>
    <t>SiteManager 
Sample ID</t>
  </si>
  <si>
    <t>Tester ID</t>
  </si>
  <si>
    <t>t_tst_rslt_hdr</t>
  </si>
  <si>
    <t>effdt</t>
  </si>
  <si>
    <t>Effective Date</t>
  </si>
  <si>
    <t>t_tst_rslt_dtl</t>
  </si>
  <si>
    <t>tst_fld_sn</t>
  </si>
  <si>
    <t>tst_strg_fld_val</t>
  </si>
  <si>
    <t>tst_numrc_fld_val</t>
  </si>
  <si>
    <t>IF Not Used,
Initialize to " " 
(i.e., space)</t>
  </si>
  <si>
    <t>IF Not Used
Initialize to 0</t>
  </si>
  <si>
    <t>Test Field Sequence Number</t>
  </si>
  <si>
    <t>Test Field String Value</t>
  </si>
  <si>
    <t>Test Field Numeric Value</t>
  </si>
  <si>
    <t>Comment  (NOT CURRENTLY USED)</t>
  </si>
  <si>
    <t>GenericString2  (NOT CURRENTLY USED)</t>
  </si>
  <si>
    <t>GenericNum1  (NOT CURRENTLY USED)</t>
  </si>
  <si>
    <t>GenericNum2  (NOT CURRENTLY USED)</t>
  </si>
  <si>
    <t>GenericNum3  (NOT CURRENTLY USED)</t>
  </si>
  <si>
    <t>GenericNum4  (NOT CURRENTLY USED)</t>
  </si>
  <si>
    <t>mix_id</t>
  </si>
  <si>
    <t>dsn_t</t>
  </si>
  <si>
    <t>dsnr_nm</t>
  </si>
  <si>
    <t>term_dt</t>
  </si>
  <si>
    <t>apprd_dt</t>
  </si>
  <si>
    <t>apprd_by_uid</t>
  </si>
  <si>
    <t>Design Type</t>
  </si>
  <si>
    <t>Producer Supplier Code</t>
  </si>
  <si>
    <t>Designer Name</t>
  </si>
  <si>
    <t>Termination Date</t>
  </si>
  <si>
    <t>Approved Date</t>
  </si>
  <si>
    <t>Approved By User ID</t>
  </si>
  <si>
    <t>TSR's Made With:</t>
  </si>
  <si>
    <t>FED/STATE #:</t>
  </si>
  <si>
    <t>Corrected 'Save As' errors on 'Design Data' tab;Corrected protection/locked cell issues</t>
  </si>
  <si>
    <r>
      <t xml:space="preserve">Not Used
</t>
    </r>
    <r>
      <rPr>
        <sz val="9"/>
        <color indexed="10"/>
        <rFont val="Arial"/>
        <family val="2"/>
      </rPr>
      <t>Initialized to " " (i.e., space)</t>
    </r>
  </si>
  <si>
    <r>
      <t xml:space="preserve">Not Used
</t>
    </r>
    <r>
      <rPr>
        <b/>
        <sz val="9"/>
        <color indexed="10"/>
        <rFont val="Arial"/>
        <family val="2"/>
      </rPr>
      <t>Initialized to "" (i.e., NULL)</t>
    </r>
  </si>
  <si>
    <r>
      <t>User Entry</t>
    </r>
    <r>
      <rPr>
        <b/>
        <sz val="10"/>
        <rFont val="Arial"/>
        <family val="2"/>
      </rPr>
      <t xml:space="preserve">                                     XML Schema 
</t>
    </r>
    <r>
      <rPr>
        <b/>
        <sz val="10"/>
        <color indexed="12"/>
        <rFont val="Arial"/>
        <family val="2"/>
      </rPr>
      <t xml:space="preserve">Sheet Map   </t>
    </r>
    <r>
      <rPr>
        <b/>
        <sz val="10"/>
        <rFont val="Arial"/>
        <family val="2"/>
      </rPr>
      <t xml:space="preserve">                                Column Name</t>
    </r>
  </si>
  <si>
    <r>
      <t xml:space="preserve">THESE THREE FIELDS COME FROM THE FIRST THREE COLUMNS ON THE "Project Item" TAB 
</t>
    </r>
    <r>
      <rPr>
        <b/>
        <sz val="10"/>
        <color indexed="10"/>
        <rFont val="Arial"/>
        <family val="2"/>
      </rPr>
      <t>(AND EACH ROW ON THAT TAB REPEATS FOR EVERY ROW ON THIS TAB HAVING A "Sample ID")</t>
    </r>
  </si>
  <si>
    <r>
      <t xml:space="preserve">Up to 254 char Sample Remark </t>
    </r>
    <r>
      <rPr>
        <b/>
        <sz val="10"/>
        <rFont val="Arial"/>
        <family val="2"/>
      </rPr>
      <t xml:space="preserve"> 
(NOTE: COULD HAVE REMARK FOR EACH TEST.)</t>
    </r>
  </si>
  <si>
    <r>
      <t xml:space="preserve">Not Used
</t>
    </r>
    <r>
      <rPr>
        <sz val="9"/>
        <color indexed="10"/>
        <rFont val="Arial"/>
        <family val="2"/>
      </rPr>
      <t>Initialized to 0</t>
    </r>
  </si>
  <si>
    <r>
      <t xml:space="preserve">IF </t>
    </r>
    <r>
      <rPr>
        <b/>
        <sz val="10"/>
        <color indexed="10"/>
        <rFont val="Arial"/>
        <family val="2"/>
      </rPr>
      <t>No Sample ID</t>
    </r>
    <r>
      <rPr>
        <sz val="10"/>
        <color indexed="10"/>
        <rFont val="Arial"/>
        <family val="2"/>
      </rPr>
      <t>, Ignore Row.</t>
    </r>
  </si>
  <si>
    <r>
      <t xml:space="preserve">Test Specification Date (Not used in this discipline)
</t>
    </r>
    <r>
      <rPr>
        <sz val="10"/>
        <color indexed="10"/>
        <rFont val="Arial"/>
        <family val="2"/>
      </rPr>
      <t>Initialized to 0</t>
    </r>
  </si>
  <si>
    <t>AMMIXPACK</t>
  </si>
  <si>
    <t>t_superpave</t>
  </si>
  <si>
    <t>AC Type</t>
  </si>
  <si>
    <t>Mix Type</t>
  </si>
  <si>
    <t>N (Initial)</t>
  </si>
  <si>
    <t>N (Max)</t>
  </si>
  <si>
    <t>N (Design)</t>
  </si>
  <si>
    <t>% Gmm @ N (Init)</t>
  </si>
  <si>
    <t>% Gmm @ N (Max)</t>
  </si>
  <si>
    <t>Equiv Single Axle Loads</t>
  </si>
  <si>
    <t>Optimum AC % by Tot Weight</t>
  </si>
  <si>
    <r>
      <t xml:space="preserve">Existing on t_matl_user 
AND  t_matl_user.smplr_ind='Y"
AND  active sampler qualification of </t>
    </r>
    <r>
      <rPr>
        <b/>
        <sz val="10"/>
        <rFont val="Arial"/>
        <family val="2"/>
      </rPr>
      <t>"Superpave Mix Design Tech."</t>
    </r>
    <r>
      <rPr>
        <sz val="10"/>
        <rFont val="Arial"/>
        <family val="2"/>
      </rPr>
      <t xml:space="preserve"> 
        (  I.e., At least one row returned from:
         SELECT * FROM t_insp_qualfn
         WHERE smpld_by = smpld_by
         AND      insp_qualfn_t = "ASMD"
         AND      qualfn_lev_t = "SMDT"
         AND      exp_dt &gt;= t_smpl.smpl_dt (since only 1 sample)
         AND      effdt     &lt;= t_smpl.smpl_dt (since only 1 sample)   )
         </t>
    </r>
  </si>
  <si>
    <t>Existing on t_prodr_supp
AND t_prodr_supp.actvty_stat_t = "A"
AND smpl_dt (since only 1 sample) is between 
            t_prodr_supp_matl.effdt &amp; exp_dt
            (for the matl_cd above)</t>
  </si>
  <si>
    <t>Existing on t_prodr_supp
AND t_prodr_supp.actvty_stat_t = "A"
AND smpl_dt (since only 1 sample) is between 
            t_prodr_supp_matl.effdt &amp; exp_dt
            (for the matl_cd left one column)</t>
  </si>
  <si>
    <t>Assume this is the BINDER Sample</t>
  </si>
  <si>
    <t>(as per bid item)</t>
  </si>
  <si>
    <t>TSRs made with:</t>
  </si>
  <si>
    <t>Removed the edit on t_smpl.smpl_mix_id as this cannot be performed in the same file where the mix is being created; Also fixed TYPE OF ADDITIVE mapping on t_tst_rslt_dtl where tst_fld_sn = 159 (data was being pulled from incorrect cell).</t>
  </si>
  <si>
    <t>Corrected "Date" field on AMMIXPACK Test (t_tst_rslt_dtl) so that "N/A" will not be accidentally passed to Applet; Corrected Mix ID Num on Design Data tab so that leading zeros would be stored in SiteManager; Corrected "Binder Grade" table in Chart Data so that the correct code table value (rather than the description) is passed to SiteManager on the t_superpave record; Made sure "N/A" was not mistakenly passed for Sample ID on the t_bit_conc_mixblnd record;  Added edits in t_superpave and t_bit_conc_mixblnd for appropriate sample date used in edits ("since only 1 sample").</t>
  </si>
  <si>
    <t>Binder</t>
  </si>
  <si>
    <t>&lt;=======</t>
  </si>
  <si>
    <t>Dust Proportion</t>
  </si>
  <si>
    <t>VMA %</t>
  </si>
  <si>
    <t>VFA %</t>
  </si>
  <si>
    <t>Lottman TSR</t>
  </si>
  <si>
    <t>Sand Equivalent</t>
  </si>
  <si>
    <t>Mixing Temperature</t>
  </si>
  <si>
    <t>Mixing Temperature Units Type</t>
  </si>
  <si>
    <t>Compaction Temp</t>
  </si>
  <si>
    <t>Compaction Temperature Units Type</t>
  </si>
  <si>
    <t>High Air Temperature</t>
  </si>
  <si>
    <t>High Air Temperature Units Type</t>
  </si>
  <si>
    <t>Air Voids Percentage</t>
  </si>
  <si>
    <t>asph_cem_t</t>
  </si>
  <si>
    <t>mix_dsn_txt_t</t>
  </si>
  <si>
    <t>init_n_dnsty_m</t>
  </si>
  <si>
    <t>max_n_dnsty_m</t>
  </si>
  <si>
    <t>dsn_n_dnsty_m</t>
  </si>
  <si>
    <t>init_n_gmm_p</t>
  </si>
  <si>
    <t>max_n_gmm_p</t>
  </si>
  <si>
    <t>esals_nbr</t>
  </si>
  <si>
    <t>opt_ac_pct_tot_wt</t>
  </si>
  <si>
    <t>dust_proprtn_p</t>
  </si>
  <si>
    <t>vma_p</t>
  </si>
  <si>
    <t>district</t>
  </si>
  <si>
    <t>Added District to disicline tab.</t>
  </si>
  <si>
    <t>vfa_p</t>
  </si>
  <si>
    <t>lotmn_tsr_m</t>
  </si>
  <si>
    <t>sand_equiv_tst</t>
  </si>
  <si>
    <t>max_spc_gr</t>
  </si>
  <si>
    <t>bulk_spc_gr_m</t>
  </si>
  <si>
    <t>mix_temp</t>
  </si>
  <si>
    <t>mix_temp_unt</t>
  </si>
  <si>
    <t>replace_allowed_indicator</t>
  </si>
  <si>
    <t>cmpct_temp</t>
  </si>
  <si>
    <t>cmpct_temp_unt</t>
  </si>
  <si>
    <t>high_air_temp</t>
  </si>
  <si>
    <t>high_air_temp_unt</t>
  </si>
  <si>
    <t>air_voids_p</t>
  </si>
  <si>
    <t>Brand Name</t>
  </si>
  <si>
    <t>Blend Percent</t>
  </si>
  <si>
    <t>Specific Gravity (Bulk)</t>
  </si>
  <si>
    <t>Specific Gravity (Apparent)</t>
  </si>
  <si>
    <t>brnd_nm</t>
  </si>
  <si>
    <t>blnd_p</t>
  </si>
  <si>
    <t>aprnt_spc_gr_m</t>
  </si>
  <si>
    <t>t_bit_conc_mixblnd</t>
  </si>
  <si>
    <t>% Air Voids with add.</t>
  </si>
  <si>
    <t>% Initial Saturation with Add.</t>
  </si>
  <si>
    <t>% Final Saturation with Add.</t>
  </si>
  <si>
    <t>Wet Strength with add. (psi)</t>
  </si>
  <si>
    <t>Dry Strength with add. (psi)</t>
  </si>
  <si>
    <t xml:space="preserve">% TSR w/o Add. = </t>
  </si>
  <si>
    <t xml:space="preserve">% TSR with Add. = </t>
  </si>
  <si>
    <r>
      <t>Unit Wt. (lb/ft</t>
    </r>
    <r>
      <rPr>
        <vertAlign val="superscript"/>
        <sz val="8"/>
        <rFont val="MS Sans Serif"/>
        <family val="2"/>
      </rPr>
      <t>3</t>
    </r>
    <r>
      <rPr>
        <sz val="8"/>
        <rFont val="MS Sans Serif"/>
        <family val="2"/>
      </rPr>
      <t>) =</t>
    </r>
  </si>
  <si>
    <r>
      <t>G</t>
    </r>
    <r>
      <rPr>
        <vertAlign val="subscript"/>
        <sz val="8"/>
        <rFont val="MS Sans Serif"/>
        <family val="2"/>
      </rPr>
      <t>mm</t>
    </r>
    <r>
      <rPr>
        <sz val="8"/>
        <rFont val="MS Sans Serif"/>
        <family val="2"/>
      </rPr>
      <t xml:space="preserve"> =</t>
    </r>
  </si>
  <si>
    <r>
      <t>G</t>
    </r>
    <r>
      <rPr>
        <vertAlign val="subscript"/>
        <sz val="8"/>
        <rFont val="MS Sans Serif"/>
        <family val="2"/>
      </rPr>
      <t>sb</t>
    </r>
    <r>
      <rPr>
        <sz val="8"/>
        <rFont val="MS Sans Serif"/>
        <family val="2"/>
      </rPr>
      <t xml:space="preserve"> =</t>
    </r>
  </si>
  <si>
    <r>
      <t>G</t>
    </r>
    <r>
      <rPr>
        <vertAlign val="subscript"/>
        <sz val="8"/>
        <rFont val="MS Sans Serif"/>
        <family val="2"/>
      </rPr>
      <t>se</t>
    </r>
    <r>
      <rPr>
        <sz val="8"/>
        <rFont val="MS Sans Serif"/>
        <family val="2"/>
      </rPr>
      <t xml:space="preserve"> =</t>
    </r>
  </si>
  <si>
    <r>
      <t>% G</t>
    </r>
    <r>
      <rPr>
        <vertAlign val="subscript"/>
        <sz val="8"/>
        <rFont val="Arial"/>
        <family val="2"/>
      </rPr>
      <t>mm</t>
    </r>
    <r>
      <rPr>
        <sz val="8"/>
        <rFont val="Arial"/>
        <family val="2"/>
      </rPr>
      <t xml:space="preserve"> @ N</t>
    </r>
    <r>
      <rPr>
        <vertAlign val="subscript"/>
        <sz val="8"/>
        <rFont val="Arial"/>
        <family val="2"/>
      </rPr>
      <t>initial</t>
    </r>
  </si>
  <si>
    <r>
      <t>% G</t>
    </r>
    <r>
      <rPr>
        <vertAlign val="subscript"/>
        <sz val="8"/>
        <rFont val="Arial"/>
        <family val="2"/>
      </rPr>
      <t>mm</t>
    </r>
    <r>
      <rPr>
        <sz val="8"/>
        <rFont val="Arial"/>
        <family val="2"/>
      </rPr>
      <t xml:space="preserve"> @ N</t>
    </r>
    <r>
      <rPr>
        <vertAlign val="subscript"/>
        <sz val="8"/>
        <rFont val="Arial"/>
        <family val="2"/>
      </rPr>
      <t>max</t>
    </r>
  </si>
  <si>
    <r>
      <t>Unit Weight (lb/ft</t>
    </r>
    <r>
      <rPr>
        <vertAlign val="superscript"/>
        <sz val="8"/>
        <rFont val="Arial"/>
        <family val="2"/>
      </rPr>
      <t>3</t>
    </r>
    <r>
      <rPr>
        <sz val="8"/>
        <rFont val="Arial"/>
        <family val="2"/>
      </rPr>
      <t>)</t>
    </r>
  </si>
  <si>
    <r>
      <t>G</t>
    </r>
    <r>
      <rPr>
        <vertAlign val="subscript"/>
        <sz val="8"/>
        <rFont val="Arial"/>
        <family val="2"/>
      </rPr>
      <t>sb</t>
    </r>
  </si>
  <si>
    <r>
      <t>G</t>
    </r>
    <r>
      <rPr>
        <vertAlign val="subscript"/>
        <sz val="8"/>
        <rFont val="Arial"/>
        <family val="2"/>
      </rPr>
      <t>se</t>
    </r>
  </si>
  <si>
    <r>
      <t>G</t>
    </r>
    <r>
      <rPr>
        <b/>
        <vertAlign val="subscript"/>
        <sz val="8"/>
        <rFont val="Arial"/>
        <family val="2"/>
      </rPr>
      <t>mm</t>
    </r>
    <r>
      <rPr>
        <b/>
        <sz val="8"/>
        <rFont val="Arial"/>
        <family val="2"/>
      </rPr>
      <t>ini</t>
    </r>
  </si>
  <si>
    <t>MIX DESIGN AGGREGATE INFORMATION</t>
  </si>
  <si>
    <t>MIXTURE DESIGN APPROVAL INFORMATION</t>
  </si>
  <si>
    <t>1-PT. CHECK PROPERTIES</t>
  </si>
  <si>
    <t>MCL CONSENSUS (&amp; ADDITIONAL) VERIFICATION INFORMATION</t>
  </si>
  <si>
    <t>4-PT. GYRATORY MIX DESIGN INFORMATION</t>
  </si>
  <si>
    <t>OVERALL: Please follow fill coloration and bolding as pictured at left</t>
  </si>
  <si>
    <t>SM Field</t>
  </si>
  <si>
    <t>TSR INFORMATION</t>
  </si>
  <si>
    <t>APPROVAL INFORMATION</t>
  </si>
  <si>
    <t>B2</t>
  </si>
  <si>
    <t>B8</t>
  </si>
  <si>
    <t>B10</t>
  </si>
  <si>
    <t>B29</t>
  </si>
  <si>
    <t>D3</t>
  </si>
  <si>
    <t>D4</t>
  </si>
  <si>
    <t>D5</t>
  </si>
  <si>
    <t>D6</t>
  </si>
  <si>
    <t>D7</t>
  </si>
  <si>
    <t>D11</t>
  </si>
  <si>
    <t>D12</t>
  </si>
  <si>
    <t>D13</t>
  </si>
  <si>
    <t>D14</t>
  </si>
  <si>
    <t>D15</t>
  </si>
  <si>
    <t>D16</t>
  </si>
  <si>
    <t>D18</t>
  </si>
  <si>
    <t>D20</t>
  </si>
  <si>
    <t>H2</t>
  </si>
  <si>
    <t>H3</t>
  </si>
  <si>
    <t>H5</t>
  </si>
  <si>
    <t>H6</t>
  </si>
  <si>
    <t>I6</t>
  </si>
  <si>
    <t>I7</t>
  </si>
  <si>
    <t>I8</t>
  </si>
  <si>
    <t>I9</t>
  </si>
  <si>
    <t>I10</t>
  </si>
  <si>
    <t>I11</t>
  </si>
  <si>
    <t>I12</t>
  </si>
  <si>
    <t>I13</t>
  </si>
  <si>
    <t>I14</t>
  </si>
  <si>
    <t>I15</t>
  </si>
  <si>
    <t>I16</t>
  </si>
  <si>
    <t>I17</t>
  </si>
  <si>
    <t>J6</t>
  </si>
  <si>
    <t>J7</t>
  </si>
  <si>
    <t>J8</t>
  </si>
  <si>
    <t>J9</t>
  </si>
  <si>
    <t>J10</t>
  </si>
  <si>
    <t>J11</t>
  </si>
  <si>
    <t>J12</t>
  </si>
  <si>
    <t>J13</t>
  </si>
  <si>
    <t>J14</t>
  </si>
  <si>
    <t>J15</t>
  </si>
  <si>
    <t>J16</t>
  </si>
  <si>
    <t>J17</t>
  </si>
  <si>
    <t>H24</t>
  </si>
  <si>
    <t>H25</t>
  </si>
  <si>
    <t>I20</t>
  </si>
  <si>
    <t>P3</t>
  </si>
  <si>
    <t>P4</t>
  </si>
  <si>
    <t>P5</t>
  </si>
  <si>
    <t>P6</t>
  </si>
  <si>
    <r>
      <t>% G</t>
    </r>
    <r>
      <rPr>
        <vertAlign val="subscript"/>
        <sz val="10"/>
        <rFont val="Arial"/>
        <family val="2"/>
      </rPr>
      <t>mm</t>
    </r>
    <r>
      <rPr>
        <sz val="10"/>
        <rFont val="Arial"/>
        <family val="2"/>
      </rPr>
      <t xml:space="preserve"> @ N</t>
    </r>
    <r>
      <rPr>
        <vertAlign val="subscript"/>
        <sz val="10"/>
        <rFont val="Arial"/>
        <family val="2"/>
      </rPr>
      <t>initial</t>
    </r>
  </si>
  <si>
    <r>
      <t>% G</t>
    </r>
    <r>
      <rPr>
        <vertAlign val="subscript"/>
        <sz val="10"/>
        <rFont val="Arial"/>
        <family val="2"/>
      </rPr>
      <t>mm</t>
    </r>
    <r>
      <rPr>
        <sz val="10"/>
        <rFont val="Arial"/>
        <family val="2"/>
      </rPr>
      <t xml:space="preserve"> @ N</t>
    </r>
    <r>
      <rPr>
        <vertAlign val="subscript"/>
        <sz val="10"/>
        <rFont val="Arial"/>
        <family val="2"/>
      </rPr>
      <t>max</t>
    </r>
  </si>
  <si>
    <r>
      <t>Unit Weight (lb/ft</t>
    </r>
    <r>
      <rPr>
        <vertAlign val="superscript"/>
        <sz val="10"/>
        <rFont val="Arial"/>
        <family val="2"/>
      </rPr>
      <t>3</t>
    </r>
    <r>
      <rPr>
        <sz val="10"/>
        <rFont val="Arial"/>
        <family val="2"/>
      </rPr>
      <t>)</t>
    </r>
  </si>
  <si>
    <r>
      <t>G</t>
    </r>
    <r>
      <rPr>
        <vertAlign val="subscript"/>
        <sz val="10"/>
        <rFont val="Arial"/>
        <family val="2"/>
      </rPr>
      <t>sb</t>
    </r>
  </si>
  <si>
    <r>
      <t>G</t>
    </r>
    <r>
      <rPr>
        <vertAlign val="subscript"/>
        <sz val="10"/>
        <rFont val="Arial"/>
        <family val="2"/>
      </rPr>
      <t>se</t>
    </r>
  </si>
  <si>
    <r>
      <t>Criteria - % G</t>
    </r>
    <r>
      <rPr>
        <vertAlign val="subscript"/>
        <sz val="10"/>
        <rFont val="Arial"/>
        <family val="2"/>
      </rPr>
      <t>mm</t>
    </r>
    <r>
      <rPr>
        <sz val="10"/>
        <rFont val="Arial"/>
        <family val="2"/>
      </rPr>
      <t xml:space="preserve"> @ N</t>
    </r>
    <r>
      <rPr>
        <vertAlign val="subscript"/>
        <sz val="10"/>
        <rFont val="Arial"/>
        <family val="2"/>
      </rPr>
      <t>initial</t>
    </r>
  </si>
  <si>
    <r>
      <t>Criteria - % G</t>
    </r>
    <r>
      <rPr>
        <vertAlign val="subscript"/>
        <sz val="10"/>
        <rFont val="Arial"/>
        <family val="2"/>
      </rPr>
      <t>mm</t>
    </r>
    <r>
      <rPr>
        <sz val="10"/>
        <rFont val="Arial"/>
        <family val="2"/>
      </rPr>
      <t xml:space="preserve"> @ N</t>
    </r>
    <r>
      <rPr>
        <vertAlign val="subscript"/>
        <sz val="10"/>
        <rFont val="Arial"/>
        <family val="2"/>
      </rPr>
      <t>max</t>
    </r>
  </si>
  <si>
    <r>
      <t>G</t>
    </r>
    <r>
      <rPr>
        <vertAlign val="subscript"/>
        <sz val="7"/>
        <rFont val="Arial"/>
        <family val="2"/>
      </rPr>
      <t>sb</t>
    </r>
  </si>
  <si>
    <r>
      <t>G</t>
    </r>
    <r>
      <rPr>
        <vertAlign val="subscript"/>
        <sz val="7"/>
        <rFont val="Arial"/>
        <family val="2"/>
      </rPr>
      <t xml:space="preserve">sb </t>
    </r>
    <r>
      <rPr>
        <sz val="10"/>
        <rFont val="Arial"/>
        <family val="2"/>
      </rPr>
      <t>#2</t>
    </r>
  </si>
  <si>
    <r>
      <t>G</t>
    </r>
    <r>
      <rPr>
        <vertAlign val="subscript"/>
        <sz val="7"/>
        <rFont val="Arial"/>
        <family val="2"/>
      </rPr>
      <t xml:space="preserve">sb </t>
    </r>
    <r>
      <rPr>
        <sz val="10"/>
        <rFont val="Arial"/>
        <family val="2"/>
      </rPr>
      <t>#3</t>
    </r>
  </si>
  <si>
    <r>
      <t>G</t>
    </r>
    <r>
      <rPr>
        <vertAlign val="subscript"/>
        <sz val="7"/>
        <rFont val="Arial"/>
        <family val="2"/>
      </rPr>
      <t xml:space="preserve">sb </t>
    </r>
    <r>
      <rPr>
        <sz val="10"/>
        <rFont val="Arial"/>
        <family val="2"/>
      </rPr>
      <t>#4</t>
    </r>
  </si>
  <si>
    <r>
      <t>G</t>
    </r>
    <r>
      <rPr>
        <vertAlign val="subscript"/>
        <sz val="7"/>
        <rFont val="Arial"/>
        <family val="2"/>
      </rPr>
      <t xml:space="preserve">sb </t>
    </r>
    <r>
      <rPr>
        <sz val="10"/>
        <rFont val="Arial"/>
        <family val="2"/>
      </rPr>
      <t>#5</t>
    </r>
  </si>
  <si>
    <r>
      <t>G</t>
    </r>
    <r>
      <rPr>
        <vertAlign val="subscript"/>
        <sz val="7"/>
        <rFont val="Arial"/>
        <family val="2"/>
      </rPr>
      <t xml:space="preserve">sb </t>
    </r>
    <r>
      <rPr>
        <sz val="10"/>
        <rFont val="Arial"/>
        <family val="2"/>
      </rPr>
      <t>#6</t>
    </r>
  </si>
  <si>
    <r>
      <t>Unit Wt. (lb/ft</t>
    </r>
    <r>
      <rPr>
        <vertAlign val="superscript"/>
        <sz val="10"/>
        <rFont val="MS Sans Serif"/>
        <family val="2"/>
      </rPr>
      <t>3</t>
    </r>
    <r>
      <rPr>
        <sz val="10"/>
        <rFont val="MS Sans Serif"/>
        <family val="2"/>
      </rPr>
      <t>) =</t>
    </r>
  </si>
  <si>
    <r>
      <t>G</t>
    </r>
    <r>
      <rPr>
        <vertAlign val="subscript"/>
        <sz val="10"/>
        <rFont val="MS Sans Serif"/>
        <family val="2"/>
      </rPr>
      <t>sb</t>
    </r>
    <r>
      <rPr>
        <sz val="10"/>
        <rFont val="MS Sans Serif"/>
        <family val="2"/>
      </rPr>
      <t xml:space="preserve"> =</t>
    </r>
  </si>
  <si>
    <t>P7</t>
  </si>
  <si>
    <t>P8</t>
  </si>
  <si>
    <t>P9</t>
  </si>
  <si>
    <t>P10</t>
  </si>
  <si>
    <t>P11</t>
  </si>
  <si>
    <t>P12</t>
  </si>
  <si>
    <t>P13</t>
  </si>
  <si>
    <t>P14</t>
  </si>
  <si>
    <t>P15</t>
  </si>
  <si>
    <t>P16</t>
  </si>
  <si>
    <t>P17</t>
  </si>
  <si>
    <t>P18</t>
  </si>
  <si>
    <t>P19</t>
  </si>
  <si>
    <t>P20</t>
  </si>
  <si>
    <t>P21</t>
  </si>
  <si>
    <t>P22</t>
  </si>
  <si>
    <t>P23</t>
  </si>
  <si>
    <t>P24</t>
  </si>
  <si>
    <t>P25</t>
  </si>
  <si>
    <t>P26</t>
  </si>
  <si>
    <t>P27</t>
  </si>
  <si>
    <t>TOTAL UNIT TEST COST</t>
  </si>
  <si>
    <t>SiteManager Agg. Sample ID #</t>
  </si>
  <si>
    <t>SiteManager ID #</t>
  </si>
  <si>
    <t>SiteManager Sample ID #</t>
  </si>
  <si>
    <t>Template Name:  AMMIXPACK</t>
  </si>
  <si>
    <t>Descrip.:  MIX DESIGN SPREADSHEET</t>
  </si>
  <si>
    <t>C16</t>
  </si>
  <si>
    <t>C17</t>
  </si>
  <si>
    <t>C18</t>
  </si>
  <si>
    <t>C19</t>
  </si>
  <si>
    <t>C20</t>
  </si>
  <si>
    <t>E16</t>
  </si>
  <si>
    <t>E17</t>
  </si>
  <si>
    <t>E18</t>
  </si>
  <si>
    <t>E20</t>
  </si>
  <si>
    <t>F11</t>
  </si>
  <si>
    <t>F12</t>
  </si>
  <si>
    <t>F13</t>
  </si>
  <si>
    <t>F14</t>
  </si>
  <si>
    <t>F15</t>
  </si>
  <si>
    <t>F16</t>
  </si>
  <si>
    <t>F17</t>
  </si>
  <si>
    <t>F18</t>
  </si>
  <si>
    <t>F20</t>
  </si>
  <si>
    <t>I18</t>
  </si>
  <si>
    <t>I19</t>
  </si>
  <si>
    <t>J18</t>
  </si>
  <si>
    <t>J19</t>
  </si>
  <si>
    <t>J20</t>
  </si>
  <si>
    <t>M2</t>
  </si>
  <si>
    <t>M3</t>
  </si>
  <si>
    <t>N28</t>
  </si>
  <si>
    <t>Q3</t>
  </si>
  <si>
    <t>Q4</t>
  </si>
  <si>
    <t>Q5</t>
  </si>
  <si>
    <t>Q6</t>
  </si>
  <si>
    <t>Q7</t>
  </si>
  <si>
    <t>Q8</t>
  </si>
  <si>
    <t>Q9</t>
  </si>
  <si>
    <t>Q10</t>
  </si>
  <si>
    <t>Q11</t>
  </si>
  <si>
    <t>Q12</t>
  </si>
  <si>
    <t>3.0</t>
  </si>
  <si>
    <t>RAP Note</t>
  </si>
  <si>
    <t>'RAP Gsb =</t>
  </si>
  <si>
    <t>RAP Gsb =</t>
  </si>
  <si>
    <t>1.2</t>
  </si>
  <si>
    <t>% / %</t>
  </si>
  <si>
    <t>2.0</t>
  </si>
  <si>
    <t>2.1</t>
  </si>
  <si>
    <t>1.1</t>
  </si>
  <si>
    <t>3.1</t>
  </si>
  <si>
    <t>1.3</t>
  </si>
  <si>
    <t>4.0</t>
  </si>
  <si>
    <t>Additional Reference Information</t>
  </si>
  <si>
    <t>5</t>
  </si>
  <si>
    <t>SiteManager Sample ID #2</t>
  </si>
  <si>
    <t>SiteManager Sample ID #3</t>
  </si>
  <si>
    <t>SiteManager Sample ID #4</t>
  </si>
  <si>
    <t>SiteManager Sample ID #5</t>
  </si>
  <si>
    <t>LAP100702</t>
  </si>
  <si>
    <t>Greater Cin. Asphalt Term II @ Cin., OH</t>
  </si>
  <si>
    <t>LAP101901</t>
  </si>
  <si>
    <t>Middleport Terminal @ Gallipolis, OH</t>
  </si>
  <si>
    <t>LAP100903</t>
  </si>
  <si>
    <t>Semgroup @ Warsaw, IN</t>
  </si>
  <si>
    <t>Binder Source Not In Drop-Down List</t>
  </si>
  <si>
    <t>SiteManager Sample ID #6</t>
  </si>
  <si>
    <t>Q13</t>
  </si>
  <si>
    <t>Q15</t>
  </si>
  <si>
    <t>Q24</t>
  </si>
  <si>
    <t>Q25</t>
  </si>
  <si>
    <t>C23</t>
  </si>
  <si>
    <t>C24</t>
  </si>
  <si>
    <t>C25</t>
  </si>
  <si>
    <t>B31</t>
  </si>
  <si>
    <t>D35</t>
  </si>
  <si>
    <t>C36</t>
  </si>
  <si>
    <t>D36</t>
  </si>
  <si>
    <t>D37</t>
  </si>
  <si>
    <t>F22</t>
  </si>
  <si>
    <t>K23</t>
  </si>
  <si>
    <t>K24</t>
  </si>
  <si>
    <t>K25</t>
  </si>
  <si>
    <t>K26</t>
  </si>
  <si>
    <t>F29</t>
  </si>
  <si>
    <t>F31</t>
  </si>
  <si>
    <t>G31</t>
  </si>
  <si>
    <t>H32</t>
  </si>
  <si>
    <t>H33</t>
  </si>
  <si>
    <t>H34</t>
  </si>
  <si>
    <t>Fixed the Authorized By edit on the t_superpave tab.</t>
  </si>
  <si>
    <t>H35</t>
  </si>
  <si>
    <t>H36</t>
  </si>
  <si>
    <t>H37</t>
  </si>
  <si>
    <t>K32</t>
  </si>
  <si>
    <t>K33</t>
  </si>
  <si>
    <t>K34</t>
  </si>
  <si>
    <t>K35</t>
  </si>
  <si>
    <t>K36</t>
  </si>
  <si>
    <t>K37</t>
  </si>
  <si>
    <t>B39</t>
  </si>
  <si>
    <t>B41</t>
  </si>
  <si>
    <t>B42</t>
  </si>
  <si>
    <t>B43</t>
  </si>
  <si>
    <t>B44</t>
  </si>
  <si>
    <t>B45</t>
  </si>
  <si>
    <t>B46</t>
  </si>
  <si>
    <t>D41</t>
  </si>
  <si>
    <t>D42</t>
  </si>
  <si>
    <t>D43</t>
  </si>
  <si>
    <t>D44</t>
  </si>
  <si>
    <t>D45</t>
  </si>
  <si>
    <t>D46</t>
  </si>
  <si>
    <t>I41</t>
  </si>
  <si>
    <t>I42</t>
  </si>
  <si>
    <t>I43</t>
  </si>
  <si>
    <t>I44</t>
  </si>
  <si>
    <t>I45</t>
  </si>
  <si>
    <t>I46</t>
  </si>
  <si>
    <t>K41</t>
  </si>
  <si>
    <t>K42</t>
  </si>
  <si>
    <t>K43</t>
  </si>
  <si>
    <t>K44</t>
  </si>
  <si>
    <t>K45</t>
  </si>
  <si>
    <t>K46</t>
  </si>
  <si>
    <t>M41</t>
  </si>
  <si>
    <t>M42</t>
  </si>
  <si>
    <t>M43</t>
  </si>
  <si>
    <t>M44</t>
  </si>
  <si>
    <t>M45</t>
  </si>
  <si>
    <t>M46</t>
  </si>
  <si>
    <t>N41</t>
  </si>
  <si>
    <t>N42</t>
  </si>
  <si>
    <t>N43</t>
  </si>
  <si>
    <t>N44</t>
  </si>
  <si>
    <t>N45</t>
  </si>
  <si>
    <t>N46</t>
  </si>
  <si>
    <t>O41</t>
  </si>
  <si>
    <t>O42</t>
  </si>
  <si>
    <t>O43</t>
  </si>
  <si>
    <t>O44</t>
  </si>
  <si>
    <t>O45</t>
  </si>
  <si>
    <t>O46</t>
  </si>
  <si>
    <t>P41</t>
  </si>
  <si>
    <t>P42</t>
  </si>
  <si>
    <t>P43</t>
  </si>
  <si>
    <t>P44</t>
  </si>
  <si>
    <t>P45</t>
  </si>
  <si>
    <t>P46</t>
  </si>
  <si>
    <t>B48</t>
  </si>
  <si>
    <t>D49</t>
  </si>
  <si>
    <t>D50</t>
  </si>
  <si>
    <t>D51</t>
  </si>
  <si>
    <t>D52</t>
  </si>
  <si>
    <t>F49</t>
  </si>
  <si>
    <t>F50</t>
  </si>
  <si>
    <t>F51</t>
  </si>
  <si>
    <t>F52</t>
  </si>
  <si>
    <t>AMP090303</t>
  </si>
  <si>
    <t>Eaton Ashpalt Paving @ Maysville</t>
  </si>
  <si>
    <t>Rogers Group @ Canton</t>
  </si>
  <si>
    <t>I49</t>
  </si>
  <si>
    <t>I50</t>
  </si>
  <si>
    <t>I51</t>
  </si>
  <si>
    <t>I52</t>
  </si>
  <si>
    <t>L48</t>
  </si>
  <si>
    <t>L50</t>
  </si>
  <si>
    <t>L51</t>
  </si>
  <si>
    <t>L52</t>
  </si>
  <si>
    <t>L53</t>
  </si>
  <si>
    <t>L54</t>
  </si>
  <si>
    <t>L55</t>
  </si>
  <si>
    <t>O50</t>
  </si>
  <si>
    <t>O51</t>
  </si>
  <si>
    <t>O52</t>
  </si>
  <si>
    <t>O53</t>
  </si>
  <si>
    <t>O54</t>
  </si>
  <si>
    <t>O55</t>
  </si>
  <si>
    <t>P50</t>
  </si>
  <si>
    <t>P51</t>
  </si>
  <si>
    <t>P52</t>
  </si>
  <si>
    <t>P53</t>
  </si>
  <si>
    <t>P54</t>
  </si>
  <si>
    <t>P55</t>
  </si>
  <si>
    <t>Frankfort Materials @ Frankfort</t>
  </si>
  <si>
    <t>LAP101004</t>
  </si>
  <si>
    <t>BINDER GRADE</t>
  </si>
  <si>
    <r>
      <t>lbs/ft</t>
    </r>
    <r>
      <rPr>
        <vertAlign val="superscript"/>
        <sz val="7"/>
        <rFont val="Helv"/>
        <family val="0"/>
      </rPr>
      <t>3</t>
    </r>
  </si>
  <si>
    <t>(no units)</t>
  </si>
  <si>
    <t>lbs/ft3</t>
  </si>
  <si>
    <t>grams</t>
  </si>
  <si>
    <t>ID#:</t>
  </si>
  <si>
    <t>Design AC%:</t>
  </si>
  <si>
    <t>RAP Information</t>
  </si>
  <si>
    <t>% AC in RAP:</t>
  </si>
  <si>
    <t>% Virgin AC in mix:</t>
  </si>
  <si>
    <t>% RAP AC in mix:</t>
  </si>
  <si>
    <t>Total % AC in mix:</t>
  </si>
  <si>
    <t>RAP MSG's</t>
  </si>
  <si>
    <t>Revised Asphalt Content (+ or - 0.3%):</t>
  </si>
  <si>
    <t>1-Pt. SGC Des.</t>
  </si>
  <si>
    <t>%AC:</t>
  </si>
  <si>
    <t>MAT.CODE</t>
  </si>
  <si>
    <t>1-Pt. CHECK PROPERTIES</t>
  </si>
  <si>
    <t>Gmm =</t>
  </si>
  <si>
    <t>Gse =</t>
  </si>
  <si>
    <t>Notes:</t>
  </si>
  <si>
    <t xml:space="preserve">AC           </t>
  </si>
  <si>
    <t xml:space="preserve">Gmmini  </t>
  </si>
  <si>
    <t xml:space="preserve">AV            </t>
  </si>
  <si>
    <t xml:space="preserve">VMA       </t>
  </si>
  <si>
    <t xml:space="preserve">VFA         </t>
  </si>
  <si>
    <t xml:space="preserve">UW           </t>
  </si>
  <si>
    <t xml:space="preserve">MSG       </t>
  </si>
  <si>
    <t xml:space="preserve">Eff. AC   </t>
  </si>
  <si>
    <t xml:space="preserve">Film Th  </t>
  </si>
  <si>
    <t xml:space="preserve">D/A         </t>
  </si>
  <si>
    <t xml:space="preserve">2 "         </t>
  </si>
  <si>
    <t xml:space="preserve">1 1/2 "   </t>
  </si>
  <si>
    <t xml:space="preserve">1 "          </t>
  </si>
  <si>
    <t xml:space="preserve">3/4 "     </t>
  </si>
  <si>
    <t xml:space="preserve">1/2 "      </t>
  </si>
  <si>
    <t xml:space="preserve">3/8 "     </t>
  </si>
  <si>
    <t xml:space="preserve">1/4 "      </t>
  </si>
  <si>
    <t xml:space="preserve">#4         </t>
  </si>
  <si>
    <t xml:space="preserve">#8         </t>
  </si>
  <si>
    <t xml:space="preserve">#16        </t>
  </si>
  <si>
    <t xml:space="preserve">#30       </t>
  </si>
  <si>
    <t xml:space="preserve">#50       </t>
  </si>
  <si>
    <t xml:space="preserve">#100      </t>
  </si>
  <si>
    <t xml:space="preserve">#200     </t>
  </si>
  <si>
    <t xml:space="preserve">Point 2 - AC           </t>
  </si>
  <si>
    <t xml:space="preserve">Point 2 - Gmmini  </t>
  </si>
  <si>
    <t xml:space="preserve">Point 2 - AV            </t>
  </si>
  <si>
    <t xml:space="preserve">Point 2 - VMA       </t>
  </si>
  <si>
    <t xml:space="preserve">Point 2 - VFA         </t>
  </si>
  <si>
    <t xml:space="preserve">Point 2 - UW           </t>
  </si>
  <si>
    <t xml:space="preserve">Point 2 - MSG       </t>
  </si>
  <si>
    <t xml:space="preserve">Point 2 - Eff. AC   </t>
  </si>
  <si>
    <t xml:space="preserve">Point 2 - Film Th  </t>
  </si>
  <si>
    <t xml:space="preserve">Point 2 - D/A         </t>
  </si>
  <si>
    <t xml:space="preserve">Point 3 - AC           </t>
  </si>
  <si>
    <t xml:space="preserve">Point 3 - Gmmini  </t>
  </si>
  <si>
    <t xml:space="preserve">Point 3 - AV            </t>
  </si>
  <si>
    <t xml:space="preserve">Point 3 - VMA       </t>
  </si>
  <si>
    <t xml:space="preserve">Point 3 - VFA         </t>
  </si>
  <si>
    <t xml:space="preserve">Point 3 - UW           </t>
  </si>
  <si>
    <t xml:space="preserve">Point 3 - MSG       </t>
  </si>
  <si>
    <t xml:space="preserve">Point 3 - Eff. AC   </t>
  </si>
  <si>
    <t xml:space="preserve">Point 3 - Film Th  </t>
  </si>
  <si>
    <t xml:space="preserve">Point 3 - D/A         </t>
  </si>
  <si>
    <t xml:space="preserve">Point 4 - AC           </t>
  </si>
  <si>
    <t xml:space="preserve">Point 4 - Gmmini  </t>
  </si>
  <si>
    <t xml:space="preserve">Point 4 - AV            </t>
  </si>
  <si>
    <t xml:space="preserve">Point 4 - VMA       </t>
  </si>
  <si>
    <t xml:space="preserve">Point 4 - VFA         </t>
  </si>
  <si>
    <t xml:space="preserve">Point 4 - UW           </t>
  </si>
  <si>
    <t xml:space="preserve">Point 4 - MSG       </t>
  </si>
  <si>
    <t xml:space="preserve">Point 4 - Eff. AC   </t>
  </si>
  <si>
    <t xml:space="preserve">Point 4 - Film Th  </t>
  </si>
  <si>
    <t xml:space="preserve">Point 4 - D/A         </t>
  </si>
  <si>
    <t xml:space="preserve">WeighUp - 2 "         </t>
  </si>
  <si>
    <t xml:space="preserve">WeighUp - 1 1/2 "   </t>
  </si>
  <si>
    <t xml:space="preserve">WeighUp - 1 "          </t>
  </si>
  <si>
    <t xml:space="preserve">WeighUp - 3/4 "     </t>
  </si>
  <si>
    <t xml:space="preserve">WeighUp - 1/2 "      </t>
  </si>
  <si>
    <t xml:space="preserve">WeighUp - 3/8 "     </t>
  </si>
  <si>
    <t xml:space="preserve">WeighUp - 1/4 "      </t>
  </si>
  <si>
    <t xml:space="preserve">WeighUp - #4         </t>
  </si>
  <si>
    <t xml:space="preserve">WeighUp - #8         </t>
  </si>
  <si>
    <t xml:space="preserve">WeighUp - #16        </t>
  </si>
  <si>
    <t xml:space="preserve">WeighUp - #30       </t>
  </si>
  <si>
    <t xml:space="preserve">WeighUp - #50       </t>
  </si>
  <si>
    <t xml:space="preserve">WeighUp - #100      </t>
  </si>
  <si>
    <t xml:space="preserve">WeighUp - #200     </t>
  </si>
  <si>
    <t>Criteria - Coarse Aggregate Angularity (%)</t>
  </si>
  <si>
    <t>Criteria - Fine Aggregate Angularity (%)</t>
  </si>
  <si>
    <t>Criteria - Flat &amp; Elongated Particles (%)</t>
  </si>
  <si>
    <t>Criteria - Clay Content (SE) (%)</t>
  </si>
  <si>
    <t>Criteria - % VFA</t>
  </si>
  <si>
    <t>Criteria - % VMA</t>
  </si>
  <si>
    <t>Criteria - D/A Ratio</t>
  </si>
  <si>
    <t>22906ES403 CL3 ASPH SURF 0.38A PG64-22</t>
  </si>
  <si>
    <t>M332</t>
  </si>
  <si>
    <t>M334</t>
  </si>
  <si>
    <t>M335</t>
  </si>
  <si>
    <t>M336</t>
  </si>
  <si>
    <t>M337</t>
  </si>
  <si>
    <t>10290</t>
  </si>
  <si>
    <t>10293</t>
  </si>
  <si>
    <t>10295</t>
  </si>
  <si>
    <t>10297</t>
  </si>
  <si>
    <t>10300</t>
  </si>
  <si>
    <t>10305</t>
  </si>
  <si>
    <t>10310</t>
  </si>
  <si>
    <t>10313</t>
  </si>
  <si>
    <t>10315</t>
  </si>
  <si>
    <t>10320</t>
  </si>
  <si>
    <t>10323</t>
  </si>
  <si>
    <t>10325</t>
  </si>
  <si>
    <t>10330</t>
  </si>
  <si>
    <t>10335</t>
  </si>
  <si>
    <t>10340</t>
  </si>
  <si>
    <t>10345</t>
  </si>
  <si>
    <t>10350</t>
  </si>
  <si>
    <t>10355</t>
  </si>
  <si>
    <t>10360</t>
  </si>
  <si>
    <t>10365</t>
  </si>
  <si>
    <t>10370</t>
  </si>
  <si>
    <t>10375</t>
  </si>
  <si>
    <t>10380</t>
  </si>
  <si>
    <t>10385</t>
  </si>
  <si>
    <t>10390</t>
  </si>
  <si>
    <t>10395</t>
  </si>
  <si>
    <t>10400</t>
  </si>
  <si>
    <t>10405</t>
  </si>
  <si>
    <t>10410</t>
  </si>
  <si>
    <t>Gaddie Shamrock @ Columbia (Plant 1-Mod. Cont.)</t>
  </si>
  <si>
    <t xml:space="preserve">AMP080402      </t>
  </si>
  <si>
    <t>Recycle selected:  Use PG 70-22 virgin binder.</t>
  </si>
  <si>
    <t>Recycle selected:  Use PG 64-22 virgin binder.</t>
  </si>
  <si>
    <t>Recycle selected:  Use KM 427 for virgin binder grade selection.</t>
  </si>
  <si>
    <t>Cannot use more than 20% Recycle with PG 76-22.</t>
  </si>
  <si>
    <t>10415</t>
  </si>
  <si>
    <t>10420</t>
  </si>
  <si>
    <t>Gravel #78's</t>
  </si>
  <si>
    <t>330/300 (deg. F)</t>
  </si>
  <si>
    <t>315/285 (deg. F)</t>
  </si>
  <si>
    <t>Gravel #8's</t>
  </si>
  <si>
    <t>Gravel #9M's</t>
  </si>
  <si>
    <t>Gravel Sand-Crushed</t>
  </si>
  <si>
    <t>Natural Sand</t>
  </si>
  <si>
    <t>Barrett Paving @ Wilder</t>
  </si>
  <si>
    <t>Eaton Asphalt Paving @ Sanfordtown</t>
  </si>
  <si>
    <t>Mago Construction @ Harrodsburg</t>
  </si>
  <si>
    <t>Mago Construction @ Tyrone</t>
  </si>
  <si>
    <t>The Allen Company @ Berea</t>
  </si>
  <si>
    <t>The Allen Company @ Boonesborough</t>
  </si>
  <si>
    <t>Hinkle Contracting @ Paris</t>
  </si>
  <si>
    <t>The Walker Company @ Mount Sterling</t>
  </si>
  <si>
    <t>The Allen Company @ Danville</t>
  </si>
  <si>
    <t>Gaddie Shamrock @ Albany</t>
  </si>
  <si>
    <t>Mago Construction @ Monticello</t>
  </si>
  <si>
    <t>Elmo Greer &amp; Sons @ Mount Vernon</t>
  </si>
  <si>
    <t>Hinkle Contracting @ Tateville</t>
  </si>
  <si>
    <t>Flemingsburg Materials @ Flemingsburg</t>
  </si>
  <si>
    <t>Hinkle Contracting @ Morehead (Batch)</t>
  </si>
  <si>
    <t>Maysville Materials @ Maysville</t>
  </si>
  <si>
    <t>Mountain Enterprises @ Grassy Creek</t>
  </si>
  <si>
    <t>Mountain Enterprises @ Ashland</t>
  </si>
  <si>
    <t>Hinkle Contracting @ Pomp</t>
  </si>
  <si>
    <t>Mountain Enterprises @ Hazard</t>
  </si>
  <si>
    <t>Hinkle Contracting @ Bowen</t>
  </si>
  <si>
    <t>Hinkle Contracting @ Beattyville</t>
  </si>
  <si>
    <t>The Walker Company @ Frenchburg</t>
  </si>
  <si>
    <t>Hinkle Contracting @ Jackson</t>
  </si>
  <si>
    <t>Hinkle Contracting @ Ravenna</t>
  </si>
  <si>
    <t>Mountain Enterprises @ Harlan</t>
  </si>
  <si>
    <t>Elmo Greer &amp; Sons @ Manchester</t>
  </si>
  <si>
    <t>Elmo Greer &amp; Sons @ Pittsburg</t>
  </si>
  <si>
    <t>Shingles</t>
  </si>
  <si>
    <t>LSS (Washed)</t>
  </si>
  <si>
    <t>00388 CL3 ASPH SURF 0.38B PG64-22</t>
  </si>
  <si>
    <t>LSS (Unwashed)</t>
  </si>
  <si>
    <t>LS NSG-Fine (Washed)</t>
  </si>
  <si>
    <t>LS NSG-Fine (Unwashed)</t>
  </si>
  <si>
    <t>LS NSG-Coarse</t>
  </si>
  <si>
    <t>LS Combined-NSG</t>
  </si>
  <si>
    <t>LS #11's (Washed)</t>
  </si>
  <si>
    <t>LS #11's (Unwashed)</t>
  </si>
  <si>
    <t>LS #10's (Unwashed)</t>
  </si>
  <si>
    <t>LS #10's (Washed)</t>
  </si>
  <si>
    <t>Dolomite #67's Class A</t>
  </si>
  <si>
    <t>Dolomite #67's Class B</t>
  </si>
  <si>
    <t>Dolomite #68's Class A</t>
  </si>
  <si>
    <t>Dolomite #68's Class B</t>
  </si>
  <si>
    <t>Dolomite #78's Class A</t>
  </si>
  <si>
    <t>Dolomite #78's Class B</t>
  </si>
  <si>
    <t>Dolomite #8's Class A</t>
  </si>
  <si>
    <t>Dolomite #8's Class B</t>
  </si>
  <si>
    <t>Dolomite #9M's Class A</t>
  </si>
  <si>
    <t>Dolomite #9M's Class B</t>
  </si>
  <si>
    <t>Dolomite Comb.-NSG</t>
  </si>
  <si>
    <t>Dolomite NSG Class A</t>
  </si>
  <si>
    <t>Dolomite NSG Class B</t>
  </si>
  <si>
    <t>Dol. #10's Unwashed</t>
  </si>
  <si>
    <t>Dol. #10's Washed</t>
  </si>
  <si>
    <t>Dol. #11's Unwashed</t>
  </si>
  <si>
    <t>Dol. #11's Washed</t>
  </si>
  <si>
    <t>Dol. NSG Fine (Unwashed)</t>
  </si>
  <si>
    <t>Dol. NSG Fine (Washed)</t>
  </si>
  <si>
    <t>Dol. Sand (Unwashed)</t>
  </si>
  <si>
    <t>Dol. Sand (Washed)</t>
  </si>
  <si>
    <t>Dolomite Sand Class A</t>
  </si>
  <si>
    <t>Dolomite Sand Class B</t>
  </si>
  <si>
    <t>LS #67's Class A</t>
  </si>
  <si>
    <t>LS #67's Class B</t>
  </si>
  <si>
    <t>LS #68's Class A</t>
  </si>
  <si>
    <t>LS #68's Class B</t>
  </si>
  <si>
    <t>LS #78's Class A</t>
  </si>
  <si>
    <t>LS #78's Class B</t>
  </si>
  <si>
    <t>LS #8's Class A</t>
  </si>
  <si>
    <t>LS #8's Class B</t>
  </si>
  <si>
    <t>LS #9M's Class A</t>
  </si>
  <si>
    <t>LS #9M's Class B</t>
  </si>
  <si>
    <t>LS NSG Class A</t>
  </si>
  <si>
    <t>LS NSG Class B</t>
  </si>
  <si>
    <t>Dolomite NSG-Coarse</t>
  </si>
  <si>
    <t>PRODUCER NAME #6</t>
  </si>
  <si>
    <t>MAT.CODE #2</t>
  </si>
  <si>
    <t>MAT.CODE #3</t>
  </si>
  <si>
    <t>MAT.CODE #4</t>
  </si>
  <si>
    <t>MAT.CODE #5</t>
  </si>
  <si>
    <t>MAT.CODE #6</t>
  </si>
  <si>
    <t>AGG. TYPE #2</t>
  </si>
  <si>
    <t>AGG. TYPE #3</t>
  </si>
  <si>
    <t>AGG. TYPE #4</t>
  </si>
  <si>
    <t>AGG. TYPE #5</t>
  </si>
  <si>
    <t>AGG. TYPE #6</t>
  </si>
  <si>
    <t>% #2</t>
  </si>
  <si>
    <t>% #3</t>
  </si>
  <si>
    <t>% #4</t>
  </si>
  <si>
    <t>% #5</t>
  </si>
  <si>
    <t>% #6</t>
  </si>
  <si>
    <t>SiteManager Agg. Sample ID #2</t>
  </si>
  <si>
    <t>SiteManager Agg. Sample ID #3</t>
  </si>
  <si>
    <t>SiteManager Agg. Sample ID #4</t>
  </si>
  <si>
    <t>SiteManager Agg. Sample ID #5</t>
  </si>
  <si>
    <t>SiteManager Agg. Sample ID #6</t>
  </si>
  <si>
    <t>psi</t>
  </si>
  <si>
    <t>TEST TYPE #2</t>
  </si>
  <si>
    <t>TEST TYPE #3</t>
  </si>
  <si>
    <t>TEST TYPE #4</t>
  </si>
  <si>
    <t>TEST TYPE #5</t>
  </si>
  <si>
    <t>TEST TYPE #6</t>
  </si>
  <si>
    <t>AGG S/C #2</t>
  </si>
  <si>
    <t>AGG S/C #3</t>
  </si>
  <si>
    <t>AGG S/C #4</t>
  </si>
  <si>
    <t>AGG S/C #5</t>
  </si>
  <si>
    <t>AGG S/C #6</t>
  </si>
  <si>
    <t>MCL S/C #2</t>
  </si>
  <si>
    <t>MCL S/C #3</t>
  </si>
  <si>
    <t>MCL S/C #4</t>
  </si>
  <si>
    <t>MCL S/C #5</t>
  </si>
  <si>
    <t>MCL S/C #6</t>
  </si>
  <si>
    <t xml:space="preserve"> </t>
  </si>
  <si>
    <t>Kentucky Transportation Cabinet, Department of Highways, Division of Materials</t>
  </si>
  <si>
    <t>Asphalt Mixtures Testing Section</t>
  </si>
  <si>
    <t>1227 Wilkinson Boulevard, Frankfort, KY  40601-1226</t>
  </si>
  <si>
    <t>Asphalt-Mixture-Design Results</t>
  </si>
  <si>
    <t>MIX ID NUM.:</t>
  </si>
  <si>
    <t>COUNTY:</t>
  </si>
  <si>
    <t>LAB:</t>
  </si>
  <si>
    <t>TEST METHOD:</t>
  </si>
  <si>
    <t>F254</t>
  </si>
  <si>
    <t>RAP MSG: "label" assignment</t>
  </si>
  <si>
    <t>6.0</t>
  </si>
  <si>
    <t>8.0</t>
  </si>
  <si>
    <t>Mapping completed.  Needs to be populated for testing.</t>
  </si>
  <si>
    <t>GRADATION:</t>
  </si>
  <si>
    <t>DATE REC.:</t>
  </si>
  <si>
    <t>CNTR. &amp; LOC.:</t>
  </si>
  <si>
    <t>CNTR. PROD. #:</t>
  </si>
  <si>
    <t>Sieve</t>
  </si>
  <si>
    <t>JMF</t>
  </si>
  <si>
    <t>"WeighUp"</t>
  </si>
  <si>
    <t>2 "</t>
  </si>
  <si>
    <t>DATE REL.:</t>
  </si>
  <si>
    <t>SUBMITTED BY:</t>
  </si>
  <si>
    <t>MIX MAT. CODE:</t>
  </si>
  <si>
    <t>1 1/2 "</t>
  </si>
  <si>
    <t>1 "</t>
  </si>
  <si>
    <t>BINDER GRADE:</t>
  </si>
  <si>
    <t>BIND. PROD. #:</t>
  </si>
  <si>
    <t>3/4 "</t>
  </si>
  <si>
    <t>1/2 "</t>
  </si>
  <si>
    <t>BINDER CODE:</t>
  </si>
  <si>
    <t>ESAL CLASS:</t>
  </si>
  <si>
    <t>DEPTH (mm):</t>
  </si>
  <si>
    <t>3/8 "</t>
  </si>
  <si>
    <t>1/4 "</t>
  </si>
  <si>
    <t>N / A</t>
  </si>
  <si>
    <t>AGG. PROD. NO.</t>
  </si>
  <si>
    <t>PRODUCER NAME</t>
  </si>
  <si>
    <t xml:space="preserve">MAT. CODE </t>
  </si>
  <si>
    <t>AGG. TYPE</t>
  </si>
  <si>
    <r>
      <t>G</t>
    </r>
    <r>
      <rPr>
        <b/>
        <vertAlign val="subscript"/>
        <sz val="8"/>
        <rFont val="Arial"/>
        <family val="2"/>
      </rPr>
      <t>sb</t>
    </r>
  </si>
  <si>
    <t>%</t>
  </si>
  <si>
    <t>Gravity Info.</t>
  </si>
  <si>
    <t>Max. Specific</t>
  </si>
  <si>
    <t>#4</t>
  </si>
  <si>
    <r>
      <t>G</t>
    </r>
    <r>
      <rPr>
        <vertAlign val="subscript"/>
        <sz val="8"/>
        <rFont val="Arial"/>
        <family val="2"/>
      </rPr>
      <t xml:space="preserve">sb    </t>
    </r>
    <r>
      <rPr>
        <sz val="10"/>
        <rFont val="Arial"/>
        <family val="2"/>
      </rPr>
      <t>=</t>
    </r>
  </si>
  <si>
    <t>#8</t>
  </si>
  <si>
    <r>
      <t>G</t>
    </r>
    <r>
      <rPr>
        <vertAlign val="subscript"/>
        <sz val="8"/>
        <rFont val="Arial"/>
        <family val="2"/>
      </rPr>
      <t xml:space="preserve">se    </t>
    </r>
    <r>
      <rPr>
        <sz val="10"/>
        <rFont val="Arial"/>
        <family val="2"/>
      </rPr>
      <t>=</t>
    </r>
  </si>
  <si>
    <t>%AC</t>
  </si>
  <si>
    <t>MSG's</t>
  </si>
  <si>
    <t>#16</t>
  </si>
  <si>
    <r>
      <t>G</t>
    </r>
    <r>
      <rPr>
        <vertAlign val="subscript"/>
        <sz val="8"/>
        <rFont val="Arial"/>
        <family val="2"/>
      </rPr>
      <t xml:space="preserve">b     </t>
    </r>
    <r>
      <rPr>
        <sz val="10"/>
        <rFont val="Arial"/>
        <family val="2"/>
      </rPr>
      <t>=</t>
    </r>
  </si>
  <si>
    <t>#30</t>
  </si>
  <si>
    <t>#50</t>
  </si>
  <si>
    <t>#100</t>
  </si>
  <si>
    <t>Average:</t>
  </si>
  <si>
    <t>#200</t>
  </si>
  <si>
    <t>Sample #</t>
  </si>
  <si>
    <t>% AC</t>
  </si>
  <si>
    <t>Weight (g)</t>
  </si>
  <si>
    <t>Bulk Vol.</t>
  </si>
  <si>
    <t>BSG</t>
  </si>
  <si>
    <t>Unit Wt. @</t>
  </si>
  <si>
    <t>Max Spec</t>
  </si>
  <si>
    <t>% Voids</t>
  </si>
  <si>
    <t>% Abs. AC</t>
  </si>
  <si>
    <t>% Eff. AC</t>
  </si>
  <si>
    <t>% VMA</t>
  </si>
  <si>
    <t>% VFA</t>
  </si>
  <si>
    <t>Film Th.</t>
  </si>
  <si>
    <r>
      <t>%G</t>
    </r>
    <r>
      <rPr>
        <vertAlign val="subscript"/>
        <sz val="6.8"/>
        <rFont val="Arial"/>
        <family val="2"/>
      </rPr>
      <t>mm</t>
    </r>
  </si>
  <si>
    <t>D/A</t>
  </si>
  <si>
    <t>Height</t>
  </si>
  <si>
    <t>(Mix)</t>
  </si>
  <si>
    <t>(Air)</t>
  </si>
  <si>
    <t>(Water)</t>
  </si>
  <si>
    <t>(SSD)</t>
  </si>
  <si>
    <t>(g)</t>
  </si>
  <si>
    <r>
      <t>@ N</t>
    </r>
    <r>
      <rPr>
        <vertAlign val="subscript"/>
        <sz val="6.8"/>
        <rFont val="Arial"/>
        <family val="2"/>
      </rPr>
      <t>des</t>
    </r>
  </si>
  <si>
    <r>
      <t>N</t>
    </r>
    <r>
      <rPr>
        <vertAlign val="subscript"/>
        <sz val="6.8"/>
        <rFont val="Arial"/>
        <family val="2"/>
      </rPr>
      <t xml:space="preserve">des </t>
    </r>
    <r>
      <rPr>
        <sz val="6.8"/>
        <rFont val="Arial"/>
        <family val="2"/>
      </rPr>
      <t>(pcf)</t>
    </r>
  </si>
  <si>
    <t>Gravity</t>
  </si>
  <si>
    <t>(µm)</t>
  </si>
  <si>
    <r>
      <t>@ N</t>
    </r>
    <r>
      <rPr>
        <vertAlign val="subscript"/>
        <sz val="6.8"/>
        <rFont val="Arial"/>
        <family val="2"/>
      </rPr>
      <t>ini</t>
    </r>
  </si>
  <si>
    <t>Ratio</t>
  </si>
  <si>
    <r>
      <t>@ N</t>
    </r>
    <r>
      <rPr>
        <vertAlign val="subscript"/>
        <sz val="6.8"/>
        <rFont val="Arial"/>
        <family val="2"/>
      </rPr>
      <t xml:space="preserve">ini </t>
    </r>
    <r>
      <rPr>
        <sz val="6.8"/>
        <rFont val="Arial"/>
        <family val="2"/>
      </rPr>
      <t>(mm)</t>
    </r>
  </si>
  <si>
    <r>
      <t>@ N</t>
    </r>
    <r>
      <rPr>
        <vertAlign val="subscript"/>
        <sz val="6.8"/>
        <rFont val="Arial"/>
        <family val="2"/>
      </rPr>
      <t>des</t>
    </r>
    <r>
      <rPr>
        <sz val="6.8"/>
        <rFont val="Arial"/>
        <family val="2"/>
      </rPr>
      <t xml:space="preserve"> (mm)</t>
    </r>
  </si>
  <si>
    <t>Average</t>
  </si>
  <si>
    <t>Specimens at optimum AC:</t>
  </si>
  <si>
    <r>
      <t>@ N</t>
    </r>
    <r>
      <rPr>
        <vertAlign val="subscript"/>
        <sz val="6.8"/>
        <rFont val="Arial"/>
        <family val="2"/>
      </rPr>
      <t xml:space="preserve">des </t>
    </r>
    <r>
      <rPr>
        <sz val="6.8"/>
        <rFont val="Arial"/>
        <family val="2"/>
      </rPr>
      <t>(mm)</t>
    </r>
  </si>
  <si>
    <r>
      <t>@ N</t>
    </r>
    <r>
      <rPr>
        <vertAlign val="subscript"/>
        <sz val="6.8"/>
        <rFont val="Arial"/>
        <family val="2"/>
      </rPr>
      <t>max</t>
    </r>
    <r>
      <rPr>
        <sz val="6.8"/>
        <rFont val="Arial"/>
        <family val="2"/>
      </rPr>
      <t>(mm)</t>
    </r>
  </si>
  <si>
    <r>
      <t>@ N</t>
    </r>
    <r>
      <rPr>
        <vertAlign val="subscript"/>
        <sz val="6.8"/>
        <rFont val="Arial"/>
        <family val="2"/>
      </rPr>
      <t>max</t>
    </r>
  </si>
  <si>
    <t>A</t>
  </si>
  <si>
    <t>B</t>
  </si>
  <si>
    <t>Coarse Aggregate Angularity Criteria</t>
  </si>
  <si>
    <t>Fine Aggregate Angularity Criteria</t>
  </si>
  <si>
    <t>RANDOM NUMBER GENERATOR</t>
  </si>
  <si>
    <t>Design Property</t>
  </si>
  <si>
    <t>Design Value</t>
  </si>
  <si>
    <t>Criteria</t>
  </si>
  <si>
    <t>Reference Information</t>
  </si>
  <si>
    <t>&lt;=100mm</t>
  </si>
  <si>
    <t>&gt;100 mm</t>
  </si>
  <si>
    <t>PLEASE NOTE:  Random numbers can only be generated one time.  Make</t>
  </si>
  <si>
    <t>Coarse Aggregate Angularity (%)</t>
  </si>
  <si>
    <t>County:</t>
  </si>
  <si>
    <t>75/- (minimum)</t>
  </si>
  <si>
    <t>75/-</t>
  </si>
  <si>
    <t>40 (minimum)</t>
  </si>
  <si>
    <t>sure the correct tonnage appears below.  If so, press GENERATE.</t>
  </si>
  <si>
    <t>Fine Aggregate Angularity (%)</t>
  </si>
  <si>
    <t>ID #:</t>
  </si>
  <si>
    <t>TONNAGE =</t>
  </si>
  <si>
    <t>Flat &amp; Elongated Particles (%)</t>
  </si>
  <si>
    <t>Binder:</t>
  </si>
  <si>
    <t>95/90 (minimum)</t>
  </si>
  <si>
    <t>80/75 (minimum)</t>
  </si>
  <si>
    <t>45 (minimum)</t>
  </si>
  <si>
    <t>Sublot</t>
  </si>
  <si>
    <t>Rand. #</t>
  </si>
  <si>
    <t>Clay Content (SE) (%)</t>
  </si>
  <si>
    <t>Date Released:</t>
  </si>
  <si>
    <t>100/100 (minimum)</t>
  </si>
  <si>
    <t>Design AC %:</t>
  </si>
  <si>
    <t>Job Complete?</t>
  </si>
  <si>
    <t>D/A Ratio</t>
  </si>
  <si>
    <r>
      <t>% G</t>
    </r>
    <r>
      <rPr>
        <vertAlign val="subscript"/>
        <sz val="6.8"/>
        <rFont val="Arial"/>
        <family val="2"/>
      </rPr>
      <t>mm</t>
    </r>
    <r>
      <rPr>
        <sz val="8"/>
        <rFont val="Arial"/>
        <family val="2"/>
      </rPr>
      <t xml:space="preserve"> @ N</t>
    </r>
    <r>
      <rPr>
        <vertAlign val="subscript"/>
        <sz val="8"/>
        <rFont val="Arial"/>
        <family val="2"/>
      </rPr>
      <t>initial</t>
    </r>
  </si>
  <si>
    <r>
      <t>% G</t>
    </r>
    <r>
      <rPr>
        <vertAlign val="subscript"/>
        <sz val="6.8"/>
        <rFont val="Arial"/>
        <family val="2"/>
      </rPr>
      <t>mm</t>
    </r>
    <r>
      <rPr>
        <sz val="8"/>
        <rFont val="Arial"/>
        <family val="2"/>
      </rPr>
      <t xml:space="preserve"> @ N</t>
    </r>
    <r>
      <rPr>
        <vertAlign val="subscript"/>
        <sz val="8"/>
        <rFont val="Arial"/>
        <family val="2"/>
      </rPr>
      <t>max</t>
    </r>
  </si>
  <si>
    <t>Revised</t>
  </si>
  <si>
    <t>% Air Voids</t>
  </si>
  <si>
    <r>
      <t>Unit Weight (lb/ft</t>
    </r>
    <r>
      <rPr>
        <vertAlign val="superscript"/>
        <sz val="6.8"/>
        <rFont val="Arial"/>
        <family val="2"/>
      </rPr>
      <t>3</t>
    </r>
    <r>
      <rPr>
        <sz val="8"/>
        <rFont val="Arial"/>
        <family val="2"/>
      </rPr>
      <t>)</t>
    </r>
  </si>
  <si>
    <t>% Effective AC</t>
  </si>
  <si>
    <t>Maximum Specific Gravity</t>
  </si>
  <si>
    <t>% Absorbed AC (Mix)</t>
  </si>
  <si>
    <r>
      <t>G</t>
    </r>
    <r>
      <rPr>
        <vertAlign val="subscript"/>
        <sz val="6.8"/>
        <rFont val="Arial"/>
        <family val="2"/>
      </rPr>
      <t>sb</t>
    </r>
  </si>
  <si>
    <r>
      <t>G</t>
    </r>
    <r>
      <rPr>
        <vertAlign val="subscript"/>
        <sz val="6.8"/>
        <rFont val="Arial"/>
        <family val="2"/>
      </rPr>
      <t>se</t>
    </r>
  </si>
  <si>
    <t>Film Thickness (µm)</t>
  </si>
  <si>
    <t>Specimen Weight (g)</t>
  </si>
  <si>
    <t>TSR Weight (g)</t>
  </si>
  <si>
    <t>% TSR without additive</t>
  </si>
  <si>
    <t>% TSR with additive</t>
  </si>
  <si>
    <t>% Additive</t>
  </si>
  <si>
    <t>Type of Additive</t>
  </si>
  <si>
    <t>NOTES:</t>
  </si>
  <si>
    <t>App.-New Design</t>
  </si>
  <si>
    <t>App.-Ref. Mix</t>
  </si>
  <si>
    <t>MCL Design</t>
  </si>
  <si>
    <t>Contr. Design</t>
  </si>
  <si>
    <t>APPROVED BY:</t>
  </si>
  <si>
    <t>Revised Asphalt Content (+ or - 0.3 %):</t>
  </si>
  <si>
    <t>GRAPH DATA</t>
  </si>
  <si>
    <t>AC</t>
  </si>
  <si>
    <r>
      <t>G</t>
    </r>
    <r>
      <rPr>
        <b/>
        <vertAlign val="subscript"/>
        <sz val="6.8"/>
        <rFont val="Arial"/>
        <family val="2"/>
      </rPr>
      <t>mm</t>
    </r>
    <r>
      <rPr>
        <b/>
        <sz val="8"/>
        <rFont val="Arial"/>
        <family val="2"/>
      </rPr>
      <t>ini</t>
    </r>
  </si>
  <si>
    <t>AV</t>
  </si>
  <si>
    <t>VMA</t>
  </si>
  <si>
    <t>MCL Mix Date</t>
  </si>
  <si>
    <t>Gyration Data</t>
  </si>
  <si>
    <r>
      <t>N</t>
    </r>
    <r>
      <rPr>
        <b/>
        <vertAlign val="subscript"/>
        <sz val="6.8"/>
        <rFont val="Arial"/>
        <family val="2"/>
      </rPr>
      <t>ini</t>
    </r>
  </si>
  <si>
    <t>AGGREGATE</t>
  </si>
  <si>
    <r>
      <t>N</t>
    </r>
    <r>
      <rPr>
        <b/>
        <vertAlign val="subscript"/>
        <sz val="6.8"/>
        <rFont val="Arial"/>
        <family val="2"/>
      </rPr>
      <t>des</t>
    </r>
  </si>
  <si>
    <r>
      <t>N</t>
    </r>
    <r>
      <rPr>
        <b/>
        <vertAlign val="subscript"/>
        <sz val="6.8"/>
        <rFont val="Arial"/>
        <family val="2"/>
      </rPr>
      <t>max</t>
    </r>
  </si>
  <si>
    <t>VFA</t>
  </si>
  <si>
    <t>UW</t>
  </si>
  <si>
    <t>MSG</t>
  </si>
  <si>
    <t>Eff. AC</t>
  </si>
  <si>
    <t>Film Th</t>
  </si>
  <si>
    <t>SUM=</t>
  </si>
  <si>
    <t xml:space="preserve">SA = </t>
  </si>
  <si>
    <t>ALPHA =</t>
  </si>
  <si>
    <t xml:space="preserve"> Graph Limits</t>
  </si>
  <si>
    <r>
      <t>G</t>
    </r>
    <r>
      <rPr>
        <b/>
        <vertAlign val="subscript"/>
        <sz val="6.8"/>
        <rFont val="Arial"/>
        <family val="2"/>
      </rPr>
      <t>mm</t>
    </r>
    <r>
      <rPr>
        <b/>
        <sz val="6.8"/>
        <rFont val="Arial"/>
        <family val="2"/>
      </rPr>
      <t>ini Limits</t>
    </r>
  </si>
  <si>
    <t>AV Limits</t>
  </si>
  <si>
    <t>VMA Limits</t>
  </si>
  <si>
    <t>VFA Limits</t>
  </si>
  <si>
    <t>D/A Limits</t>
  </si>
  <si>
    <t>muley</t>
  </si>
  <si>
    <t>RANDOM NUMBER GENERATOR (CONTINUED)</t>
  </si>
  <si>
    <t>PROJECT INFORMATION</t>
  </si>
  <si>
    <t>Mix ID #:</t>
  </si>
  <si>
    <t xml:space="preserve">- </t>
  </si>
  <si>
    <t>Mix Type:</t>
  </si>
  <si>
    <t>Binder Type:</t>
  </si>
  <si>
    <t>Project #:</t>
  </si>
  <si>
    <t>One-Point Gyratory Specimen Properties Evaluation</t>
  </si>
  <si>
    <t>Mix ID # &amp; County:</t>
  </si>
  <si>
    <t>Tested By:</t>
  </si>
  <si>
    <t>Lab:</t>
  </si>
  <si>
    <t>Date Received:</t>
  </si>
  <si>
    <t>Date Comp.:</t>
  </si>
  <si>
    <t>Test Methods Used:</t>
  </si>
  <si>
    <t>AASHTO T166 &amp; T209</t>
  </si>
  <si>
    <t>Specimens:</t>
  </si>
  <si>
    <t>Gyratory Specimen Weights</t>
  </si>
  <si>
    <t>Spec. No.</t>
  </si>
  <si>
    <t>Wt. in Air</t>
  </si>
  <si>
    <r>
      <t>Wt. in H</t>
    </r>
    <r>
      <rPr>
        <vertAlign val="subscript"/>
        <sz val="10"/>
        <rFont val="MS Sans Serif"/>
        <family val="2"/>
      </rPr>
      <t>2</t>
    </r>
    <r>
      <rPr>
        <sz val="10"/>
        <rFont val="MS Sans Serif"/>
        <family val="2"/>
      </rPr>
      <t>0</t>
    </r>
  </si>
  <si>
    <t>SSD Wt.</t>
  </si>
  <si>
    <t>B.S.G.</t>
  </si>
  <si>
    <t>Unit Wt.</t>
  </si>
  <si>
    <t/>
  </si>
  <si>
    <r>
      <t>Maximum Specific Gravity (G</t>
    </r>
    <r>
      <rPr>
        <b/>
        <vertAlign val="subscript"/>
        <sz val="12"/>
        <rFont val="MS Sans Serif"/>
        <family val="2"/>
      </rPr>
      <t>mm</t>
    </r>
    <r>
      <rPr>
        <b/>
        <sz val="12"/>
        <rFont val="MS Sans Serif"/>
        <family val="2"/>
      </rPr>
      <t>) Determination</t>
    </r>
  </si>
  <si>
    <t>1.  Wt. of Pycnometer + Mix (g)</t>
  </si>
  <si>
    <t>2.  Wt. of Pycnometer (g)</t>
  </si>
  <si>
    <t>3.  Wt. of Mix (g) [1-2]</t>
  </si>
  <si>
    <t>4.  Calibration Wt. (g)</t>
  </si>
  <si>
    <t>B.S.G.A.</t>
  </si>
  <si>
    <t>5.  Calibration Wt. + Wt. of Mix (g) [3+4]</t>
  </si>
  <si>
    <t>Added "Tab" Hide/Unhide macros and removed green highlights for "FINAL" version.</t>
  </si>
  <si>
    <t>Made changes to code to allow Non-Superpave mixtures to save correctly.</t>
  </si>
  <si>
    <r>
      <t xml:space="preserve">Existing on t_matl_user 
AND  t_matl_user.smplr_ind='Y"
AND  active sampler qualification of </t>
    </r>
    <r>
      <rPr>
        <b/>
        <sz val="10"/>
        <rFont val="Arial"/>
        <family val="2"/>
      </rPr>
      <t>"Superpave Mix Design Tech."</t>
    </r>
    <r>
      <rPr>
        <sz val="10"/>
        <rFont val="Arial"/>
        <family val="2"/>
      </rPr>
      <t xml:space="preserve"> 
        (  I.e., At least one row returned from:
         SELECT * FROM t_insp_qualfn
         WHERE smpld_by = smpld_by
         AND      insp_qualfn_t = "ASMD"
         AND      qualfn_lev_t = "SMDT"
         AND      exp_dt &gt;= t_smpl.smpl_dt (same keys as current row)
         AND      effdt     &lt;= t_smpl.smpl_dt (same keys as current row)   )
         </t>
    </r>
  </si>
  <si>
    <r>
      <t xml:space="preserve">Existing on t_matl_user 
AND  t_matl_user.tstr_ind='Y"
AND  active test qualification of </t>
    </r>
    <r>
      <rPr>
        <b/>
        <sz val="10"/>
        <rFont val="Arial"/>
        <family val="2"/>
      </rPr>
      <t>"Superpave Mix Design Tech."</t>
    </r>
    <r>
      <rPr>
        <sz val="10"/>
        <rFont val="Arial"/>
        <family val="2"/>
      </rPr>
      <t xml:space="preserve"> 
        (  I.e., At least one row returned from:
         SELECT * FROM t_tst_prsnl_qualfn
         WHERE tst_id = tst_id
         AND      tst_prsnlqualfn_t = "ASMD"
         AND      qualfn_lev_t = "SMDT"
         AND      exp_dt &gt;= t_smpl_tst.strt_dt (same keys as current row)
         AND      effdt     &lt;= t_smpl_tst.strt_dt (same keys as current row)
         For any row above, return at least one row:
         SELECT * FROM t_tst_prsnqualftst
         WHERE tst_id = tst_id
         AND      tst_prsnlqualfn_t = t_tst_prsnl_qualfn.tst_prsnlqualfn_t
         AND      qualfn_lev_t = t_tst_prsnl_qualfn.qualfn_lev_t
         AND      effdt = t_tst_prsnl_qualfn.effdt
         AND      tst_meth = t_smpl_tst.tst_meth   )
         </t>
    </r>
  </si>
  <si>
    <t>S.G.AC</t>
  </si>
  <si>
    <t>6.  Final Wt. (g) [Test Complete]</t>
  </si>
  <si>
    <r>
      <t>7.  Volume of Mix (cm</t>
    </r>
    <r>
      <rPr>
        <vertAlign val="superscript"/>
        <sz val="10"/>
        <rFont val="MS Sans Serif"/>
        <family val="2"/>
      </rPr>
      <t>3</t>
    </r>
    <r>
      <rPr>
        <sz val="10"/>
        <rFont val="MS Sans Serif"/>
        <family val="2"/>
      </rPr>
      <t>) [5-6]</t>
    </r>
  </si>
  <si>
    <t>E.S.G.A.</t>
  </si>
  <si>
    <r>
      <t>8.  G</t>
    </r>
    <r>
      <rPr>
        <vertAlign val="subscript"/>
        <sz val="10"/>
        <rFont val="MS Sans Serif"/>
        <family val="2"/>
      </rPr>
      <t>mm</t>
    </r>
    <r>
      <rPr>
        <sz val="10"/>
        <rFont val="MS Sans Serif"/>
        <family val="2"/>
      </rPr>
      <t xml:space="preserve"> Without Dry-back (3/7)</t>
    </r>
  </si>
  <si>
    <r>
      <t>9.  Volume of Absorbed Water (cm</t>
    </r>
    <r>
      <rPr>
        <vertAlign val="superscript"/>
        <sz val="10"/>
        <rFont val="MS Sans Serif"/>
        <family val="2"/>
      </rPr>
      <t>3</t>
    </r>
    <r>
      <rPr>
        <sz val="10"/>
        <rFont val="MS Sans Serif"/>
        <family val="2"/>
      </rPr>
      <t>)</t>
    </r>
  </si>
  <si>
    <t xml:space="preserve">AMP070101      </t>
  </si>
  <si>
    <t xml:space="preserve">AMP070303      </t>
  </si>
  <si>
    <t xml:space="preserve">AMP070201      </t>
  </si>
  <si>
    <t xml:space="preserve">AMP060402      </t>
  </si>
  <si>
    <t xml:space="preserve">AMP060301      </t>
  </si>
  <si>
    <t xml:space="preserve">AMP080301      </t>
  </si>
  <si>
    <t xml:space="preserve">AMP050301      </t>
  </si>
  <si>
    <t xml:space="preserve">AMP050401      </t>
  </si>
  <si>
    <t xml:space="preserve">AMP040301      </t>
  </si>
  <si>
    <t xml:space="preserve">AMP070304      </t>
  </si>
  <si>
    <t xml:space="preserve">AMP020301      </t>
  </si>
  <si>
    <t xml:space="preserve">AMP060302      </t>
  </si>
  <si>
    <t xml:space="preserve">AMP110501      </t>
  </si>
  <si>
    <t xml:space="preserve">AMP110502      </t>
  </si>
  <si>
    <t xml:space="preserve">AMP110201      </t>
  </si>
  <si>
    <t xml:space="preserve">AMP110301      </t>
  </si>
  <si>
    <t xml:space="preserve">AMP110202      </t>
  </si>
  <si>
    <t xml:space="preserve">AMP110203      </t>
  </si>
  <si>
    <t xml:space="preserve">AMP110204      </t>
  </si>
  <si>
    <t xml:space="preserve">AMP080302      </t>
  </si>
  <si>
    <t xml:space="preserve">AMP110302      </t>
  </si>
  <si>
    <t xml:space="preserve">AMP090102      </t>
  </si>
  <si>
    <t xml:space="preserve">AMP050302      </t>
  </si>
  <si>
    <t xml:space="preserve">AMP050303      </t>
  </si>
  <si>
    <t xml:space="preserve">AMP080101      </t>
  </si>
  <si>
    <t xml:space="preserve">AMP030301      </t>
  </si>
  <si>
    <t xml:space="preserve">AMP040101      </t>
  </si>
  <si>
    <t xml:space="preserve">AMP020101      </t>
  </si>
  <si>
    <t xml:space="preserve">AMP070305      </t>
  </si>
  <si>
    <t xml:space="preserve">AMP100301      </t>
  </si>
  <si>
    <t xml:space="preserve">AMP100201      </t>
  </si>
  <si>
    <t xml:space="preserve">AMP100401      </t>
  </si>
  <si>
    <t xml:space="preserve">AMP090103      </t>
  </si>
  <si>
    <t xml:space="preserve">AMP070306      </t>
  </si>
  <si>
    <t xml:space="preserve">AMP100101      </t>
  </si>
  <si>
    <t xml:space="preserve">AMP100402      </t>
  </si>
  <si>
    <t xml:space="preserve">AMP080303      </t>
  </si>
  <si>
    <t xml:space="preserve">AMP020302      </t>
  </si>
  <si>
    <t xml:space="preserve">AMP010301      </t>
  </si>
  <si>
    <t xml:space="preserve">AMP010101      </t>
  </si>
  <si>
    <t xml:space="preserve">AMP010302      </t>
  </si>
  <si>
    <t xml:space="preserve">AMP010303      </t>
  </si>
  <si>
    <t xml:space="preserve">AMP070307      </t>
  </si>
  <si>
    <t xml:space="preserve">AMP050101      </t>
  </si>
  <si>
    <t xml:space="preserve">AMP020103      </t>
  </si>
  <si>
    <t xml:space="preserve">AMP060303      </t>
  </si>
  <si>
    <t xml:space="preserve">AMP060104      </t>
  </si>
  <si>
    <t xml:space="preserve">AMP040102      </t>
  </si>
  <si>
    <t xml:space="preserve">AMP070102      </t>
  </si>
  <si>
    <t xml:space="preserve">AMP040103      </t>
  </si>
  <si>
    <t xml:space="preserve">AMP050306      </t>
  </si>
  <si>
    <t xml:space="preserve">AMP080103      </t>
  </si>
  <si>
    <t xml:space="preserve">AMP050307      </t>
  </si>
  <si>
    <t xml:space="preserve">AMP070103      </t>
  </si>
  <si>
    <t xml:space="preserve">AMP090104      </t>
  </si>
  <si>
    <t xml:space="preserve">AMP090302      </t>
  </si>
  <si>
    <t xml:space="preserve">AMP090105      </t>
  </si>
  <si>
    <t xml:space="preserve">AMP110101      </t>
  </si>
  <si>
    <t xml:space="preserve">AMP120102      </t>
  </si>
  <si>
    <t xml:space="preserve">AMP120301      </t>
  </si>
  <si>
    <t xml:space="preserve">AMP120302      </t>
  </si>
  <si>
    <t xml:space="preserve">AMP120303      </t>
  </si>
  <si>
    <t xml:space="preserve">AMP120304      </t>
  </si>
  <si>
    <t xml:space="preserve">AMP120305      </t>
  </si>
  <si>
    <t xml:space="preserve">AMP010102      </t>
  </si>
  <si>
    <t xml:space="preserve">AMP040302      </t>
  </si>
  <si>
    <t xml:space="preserve">AMP040303      </t>
  </si>
  <si>
    <t xml:space="preserve">AMP050308      </t>
  </si>
  <si>
    <t xml:space="preserve">AMP060304      </t>
  </si>
  <si>
    <t xml:space="preserve">AMP020303      </t>
  </si>
  <si>
    <t xml:space="preserve">AMP020105      </t>
  </si>
  <si>
    <t>Blanked sheet for final version.</t>
  </si>
  <si>
    <t xml:space="preserve">AMP010103      </t>
  </si>
  <si>
    <t xml:space="preserve">AMP030303      </t>
  </si>
  <si>
    <t xml:space="preserve">AMP030304      </t>
  </si>
  <si>
    <t xml:space="preserve">AMP030305      </t>
  </si>
  <si>
    <t xml:space="preserve">AMP020108      </t>
  </si>
  <si>
    <t xml:space="preserve">AMP030306      </t>
  </si>
  <si>
    <t xml:space="preserve">AMP030307      </t>
  </si>
  <si>
    <t xml:space="preserve">AMP050304      </t>
  </si>
  <si>
    <t xml:space="preserve">AMP050102      </t>
  </si>
  <si>
    <t xml:space="preserve">AMP070301      </t>
  </si>
  <si>
    <t xml:space="preserve">AMP070302      </t>
  </si>
  <si>
    <t xml:space="preserve">AMP070501      </t>
  </si>
  <si>
    <t xml:space="preserve">AMP100302      </t>
  </si>
  <si>
    <t xml:space="preserve">AMP070308      </t>
  </si>
  <si>
    <t>Jim Smith Contracting @ Lake City (Batch)</t>
  </si>
  <si>
    <t>Jim Smith Contracting @ Lake City (Drum)</t>
  </si>
  <si>
    <t>Nally &amp; Haydon @ Greensburg (Drum)</t>
  </si>
  <si>
    <t>MDH&amp;MTB</t>
  </si>
  <si>
    <t>Added drop-downs to Liquid and Contractor P/S.</t>
  </si>
  <si>
    <r>
      <t>10.  Adjusted Volume of Mix (cm</t>
    </r>
    <r>
      <rPr>
        <vertAlign val="superscript"/>
        <sz val="10"/>
        <rFont val="MS Sans Serif"/>
        <family val="2"/>
      </rPr>
      <t>3</t>
    </r>
    <r>
      <rPr>
        <sz val="10"/>
        <rFont val="MS Sans Serif"/>
        <family val="2"/>
      </rPr>
      <t>) [7+9]</t>
    </r>
  </si>
  <si>
    <r>
      <t>11.  G</t>
    </r>
    <r>
      <rPr>
        <vertAlign val="subscript"/>
        <sz val="10"/>
        <rFont val="MS Sans Serif"/>
        <family val="2"/>
      </rPr>
      <t>mm</t>
    </r>
    <r>
      <rPr>
        <sz val="10"/>
        <rFont val="MS Sans Serif"/>
        <family val="2"/>
      </rPr>
      <t xml:space="preserve"> With Dry-back (3/10)</t>
    </r>
  </si>
  <si>
    <t>Gyratory Specimen Properties</t>
  </si>
  <si>
    <r>
      <t>Unit Wt. (lb/ft</t>
    </r>
    <r>
      <rPr>
        <vertAlign val="superscript"/>
        <sz val="8"/>
        <rFont val="MS Sans Serif"/>
        <family val="2"/>
      </rPr>
      <t>3</t>
    </r>
    <r>
      <rPr>
        <sz val="10"/>
        <rFont val="MS Sans Serif"/>
        <family val="2"/>
      </rPr>
      <t>) =</t>
    </r>
  </si>
  <si>
    <t>D/A Ratio =</t>
  </si>
  <si>
    <t>AC (%) =</t>
  </si>
  <si>
    <t>% Air Voids =</t>
  </si>
  <si>
    <r>
      <t>G</t>
    </r>
    <r>
      <rPr>
        <vertAlign val="subscript"/>
        <sz val="10"/>
        <rFont val="MS Sans Serif"/>
        <family val="2"/>
      </rPr>
      <t>mm</t>
    </r>
    <r>
      <rPr>
        <sz val="10"/>
        <rFont val="MS Sans Serif"/>
        <family val="2"/>
      </rPr>
      <t xml:space="preserve"> =</t>
    </r>
  </si>
  <si>
    <t>% VMA =</t>
  </si>
  <si>
    <t>% VFA =</t>
  </si>
  <si>
    <t>% Eff. AC =</t>
  </si>
  <si>
    <t>% Abs. AC (Mix) =</t>
  </si>
  <si>
    <r>
      <t>G</t>
    </r>
    <r>
      <rPr>
        <vertAlign val="subscript"/>
        <sz val="10"/>
        <rFont val="MS Sans Serif"/>
        <family val="2"/>
      </rPr>
      <t>sb</t>
    </r>
    <r>
      <rPr>
        <sz val="10"/>
        <rFont val="MS Sans Serif"/>
        <family val="2"/>
      </rPr>
      <t xml:space="preserve"> =</t>
    </r>
  </si>
  <si>
    <r>
      <t>G</t>
    </r>
    <r>
      <rPr>
        <vertAlign val="subscript"/>
        <sz val="10"/>
        <rFont val="MS Sans Serif"/>
        <family val="2"/>
      </rPr>
      <t>se</t>
    </r>
    <r>
      <rPr>
        <sz val="10"/>
        <rFont val="MS Sans Serif"/>
        <family val="2"/>
      </rPr>
      <t xml:space="preserve"> =</t>
    </r>
  </si>
  <si>
    <t>ESAL Class</t>
  </si>
  <si>
    <t>Deviations from Test Method:</t>
  </si>
  <si>
    <t>KENTUCKY DEPARTMENT OF HIGHWAYS</t>
  </si>
  <si>
    <t>DIVISION OF MATERIALS</t>
  </si>
  <si>
    <t>Laboratory Mix Design</t>
  </si>
  <si>
    <t>Type Mix:</t>
  </si>
  <si>
    <t>Project Number:</t>
  </si>
  <si>
    <r>
      <t>N</t>
    </r>
    <r>
      <rPr>
        <b/>
        <u val="single"/>
        <vertAlign val="subscript"/>
        <sz val="8.5"/>
        <rFont val="MS Sans Serif"/>
        <family val="2"/>
      </rPr>
      <t>des</t>
    </r>
    <r>
      <rPr>
        <b/>
        <u val="single"/>
        <sz val="10"/>
        <rFont val="MS Sans Serif"/>
        <family val="2"/>
      </rPr>
      <t xml:space="preserve"> Gyrations:</t>
    </r>
  </si>
  <si>
    <t>Filename</t>
  </si>
  <si>
    <t>Performance tuning (started using ScreenUpdating Property in background macros to help speed up processing); Added "Filename" (SampleIDRoot) to the discipline tab.</t>
  </si>
  <si>
    <t>Lab :</t>
  </si>
  <si>
    <t>Contractor &amp; Loc.:</t>
  </si>
  <si>
    <t>Date Completed:</t>
  </si>
  <si>
    <t>RESULTS:</t>
  </si>
  <si>
    <t xml:space="preserve">% AC:  </t>
  </si>
  <si>
    <r>
      <t>% G</t>
    </r>
    <r>
      <rPr>
        <vertAlign val="subscript"/>
        <sz val="8.5"/>
        <rFont val="MS Sans Serif"/>
        <family val="2"/>
      </rPr>
      <t>mm</t>
    </r>
    <r>
      <rPr>
        <sz val="10"/>
        <rFont val="MS Sans Serif"/>
        <family val="2"/>
      </rPr>
      <t xml:space="preserve"> @ N</t>
    </r>
    <r>
      <rPr>
        <vertAlign val="subscript"/>
        <sz val="8.5"/>
        <rFont val="MS Sans Serif"/>
        <family val="2"/>
      </rPr>
      <t>ini</t>
    </r>
    <r>
      <rPr>
        <sz val="10"/>
        <rFont val="MS Sans Serif"/>
        <family val="2"/>
      </rPr>
      <t>:</t>
    </r>
  </si>
  <si>
    <t>% Air Voids:</t>
  </si>
  <si>
    <t>% VMA:</t>
  </si>
  <si>
    <t>REMARKS:</t>
  </si>
  <si>
    <t>Technical Responsibility:</t>
  </si>
  <si>
    <t xml:space="preserve">% VFA:  </t>
  </si>
  <si>
    <t>Unit Weight (pcf):</t>
  </si>
  <si>
    <r>
      <t>G</t>
    </r>
    <r>
      <rPr>
        <vertAlign val="subscript"/>
        <sz val="8.5"/>
        <rFont val="MS Sans Serif"/>
        <family val="2"/>
      </rPr>
      <t>mm</t>
    </r>
    <r>
      <rPr>
        <sz val="10"/>
        <rFont val="MS Sans Serif"/>
        <family val="2"/>
      </rPr>
      <t>:</t>
    </r>
  </si>
  <si>
    <t>% Eff. AC:</t>
  </si>
  <si>
    <t>Film Thickness (µm):</t>
  </si>
  <si>
    <t xml:space="preserve">Dust/Asphalt Ratio:  </t>
  </si>
  <si>
    <t>Percentage of Tensile Strength Retained (% TSR) Results</t>
  </si>
  <si>
    <t>MIX ID #:</t>
  </si>
  <si>
    <t>TYPE OF MIX.:</t>
  </si>
  <si>
    <t>PROJ. #:</t>
  </si>
  <si>
    <t>CONTR. &amp; LOC.:</t>
  </si>
  <si>
    <t>BIND. GRADE:</t>
  </si>
  <si>
    <t>ASTM D4867</t>
  </si>
  <si>
    <t>BIND. SOURCE:</t>
  </si>
  <si>
    <t>Test Specimen Results</t>
  </si>
  <si>
    <t>Sample Identification</t>
  </si>
  <si>
    <t>% AC:</t>
  </si>
  <si>
    <t>% ADDITIVE:</t>
  </si>
  <si>
    <t>Sample Aggregate Weight (g)</t>
  </si>
  <si>
    <t>Grams of Asphalt Binder (g)</t>
  </si>
  <si>
    <t>TYPE OF ADDITIVE:</t>
  </si>
  <si>
    <t>Dry Weight in Air (g)</t>
  </si>
  <si>
    <t>Weight in Water (g)</t>
  </si>
  <si>
    <t>SSD Weight (g)</t>
  </si>
  <si>
    <t>Process</t>
  </si>
  <si>
    <t>Date:</t>
  </si>
  <si>
    <t>Time:</t>
  </si>
  <si>
    <t>By:</t>
  </si>
  <si>
    <r>
      <t>Bulk Volume (cm</t>
    </r>
    <r>
      <rPr>
        <vertAlign val="superscript"/>
        <sz val="8"/>
        <rFont val="Arial"/>
        <family val="2"/>
      </rPr>
      <t>3</t>
    </r>
    <r>
      <rPr>
        <sz val="8"/>
        <rFont val="Arial"/>
        <family val="2"/>
      </rPr>
      <t>)</t>
    </r>
  </si>
  <si>
    <t>TSR's Made:</t>
  </si>
  <si>
    <t>Bulk Specific Gravity</t>
  </si>
  <si>
    <t>TSR's Bulked:</t>
  </si>
  <si>
    <t>TSR's Saturated:</t>
  </si>
  <si>
    <t>TSR's in Freezer:</t>
  </si>
  <si>
    <t>Target % Air Voids</t>
  </si>
  <si>
    <r>
      <t>TSR's in 140</t>
    </r>
    <r>
      <rPr>
        <vertAlign val="superscript"/>
        <sz val="8"/>
        <rFont val="Arial"/>
        <family val="2"/>
      </rPr>
      <t>o</t>
    </r>
    <r>
      <rPr>
        <sz val="8"/>
        <rFont val="Arial"/>
        <family val="2"/>
      </rPr>
      <t>F Bath:</t>
    </r>
  </si>
  <si>
    <t>Target Aggregate Weight (g)</t>
  </si>
  <si>
    <t>TSR's Broken :</t>
  </si>
  <si>
    <t>Asphalt Binder (g)</t>
  </si>
  <si>
    <t>Sample ID</t>
  </si>
  <si>
    <t>Diameter (mm)</t>
  </si>
  <si>
    <t>Thickness (mm)</t>
  </si>
  <si>
    <t>Dry Weight (g)</t>
  </si>
  <si>
    <t>Wt. in Water (g)</t>
  </si>
  <si>
    <r>
      <t>Volume (cm</t>
    </r>
    <r>
      <rPr>
        <vertAlign val="superscript"/>
        <sz val="7"/>
        <rFont val="Arial"/>
        <family val="2"/>
      </rPr>
      <t>3</t>
    </r>
    <r>
      <rPr>
        <sz val="8"/>
        <rFont val="Arial"/>
        <family val="2"/>
      </rPr>
      <t>)</t>
    </r>
  </si>
  <si>
    <t>Bulk Spec. Gravity</t>
  </si>
  <si>
    <t>Max. Sp. Gravity</t>
  </si>
  <si>
    <r>
      <t>Vol. Air Voids (cm</t>
    </r>
    <r>
      <rPr>
        <vertAlign val="superscript"/>
        <sz val="7"/>
        <rFont val="Arial"/>
        <family val="2"/>
      </rPr>
      <t>3</t>
    </r>
    <r>
      <rPr>
        <sz val="8"/>
        <rFont val="Arial"/>
        <family val="2"/>
      </rPr>
      <t>)</t>
    </r>
  </si>
  <si>
    <r>
      <t>Load (lb</t>
    </r>
    <r>
      <rPr>
        <vertAlign val="subscript"/>
        <sz val="6.8"/>
        <rFont val="Arial"/>
        <family val="2"/>
      </rPr>
      <t>f</t>
    </r>
    <r>
      <rPr>
        <sz val="8"/>
        <rFont val="Arial"/>
        <family val="2"/>
      </rPr>
      <t>)</t>
    </r>
  </si>
  <si>
    <t>Saturated</t>
  </si>
  <si>
    <r>
      <t>Vol. Abs. Wat. (cm</t>
    </r>
    <r>
      <rPr>
        <vertAlign val="superscript"/>
        <sz val="7"/>
        <rFont val="Arial"/>
        <family val="2"/>
      </rPr>
      <t>3</t>
    </r>
    <r>
      <rPr>
        <sz val="8"/>
        <rFont val="Arial"/>
        <family val="2"/>
      </rPr>
      <t>)</t>
    </r>
  </si>
  <si>
    <t>% Saturation</t>
  </si>
  <si>
    <r>
      <t xml:space="preserve">Conditioned 24 hrs. in 140 </t>
    </r>
    <r>
      <rPr>
        <b/>
        <vertAlign val="superscript"/>
        <sz val="10"/>
        <rFont val="Arial"/>
        <family val="2"/>
      </rPr>
      <t>o</t>
    </r>
    <r>
      <rPr>
        <b/>
        <sz val="10"/>
        <rFont val="Arial"/>
        <family val="2"/>
      </rPr>
      <t>F water</t>
    </r>
  </si>
  <si>
    <t>Wet Strength (psi)</t>
  </si>
  <si>
    <t>Dry Strength (psi)</t>
  </si>
  <si>
    <t xml:space="preserve">% TSR Without Additive = </t>
  </si>
  <si>
    <t xml:space="preserve">% TSR With Additive = </t>
  </si>
  <si>
    <t>Opening</t>
  </si>
  <si>
    <t>Op.^0.45</t>
  </si>
  <si>
    <r>
      <t xml:space="preserve">IF new record THEN
   Set to Current System Date
ELSE </t>
    </r>
    <r>
      <rPr>
        <sz val="9"/>
        <color indexed="10"/>
        <rFont val="Arial"/>
        <family val="2"/>
      </rPr>
      <t>(using REPLACE feature)</t>
    </r>
    <r>
      <rPr>
        <sz val="9"/>
        <rFont val="Arial"/>
        <family val="2"/>
      </rPr>
      <t xml:space="preserve">
   Set to auth_dt on exisitng t_smp record in SM DB
ENDIF</t>
    </r>
  </si>
  <si>
    <t>numeric(3.0)</t>
  </si>
  <si>
    <t>numeric(3.0)
Values can only be 50, 75, 100, 125, (or blank - i.e., since numeric field, blank will be stored as a 0).</t>
  </si>
  <si>
    <r>
      <t>numeric(12.0)
"</t>
    </r>
    <r>
      <rPr>
        <b/>
        <sz val="9"/>
        <color indexed="12"/>
        <rFont val="Arial"/>
        <family val="2"/>
      </rPr>
      <t>N/A" or blanks have been translated to zero (0) below.</t>
    </r>
  </si>
  <si>
    <t>Ref. Mix Design (with changes)-different proj.</t>
  </si>
  <si>
    <t>Ref. Mix Design (with changes)-same proj.</t>
  </si>
  <si>
    <t xml:space="preserve">AMP090108      </t>
  </si>
  <si>
    <t xml:space="preserve">American Asphalt &amp; Aggregates @ Kenova </t>
  </si>
  <si>
    <t>ATS @ Lexington (Old Frankfort Pike)-Batch (#14)</t>
  </si>
  <si>
    <t>ATS @ Lexington (Old Frankfort Pike)-Drum (#16)</t>
  </si>
  <si>
    <t>ATS @ Lexington (Old Richmond Road) (#15)</t>
  </si>
  <si>
    <t>E &amp; B Paving @ Chandler Indiana</t>
  </si>
  <si>
    <t>Elmo Greer &amp; Sons @ McKee</t>
  </si>
  <si>
    <t>Gaddie Shamrock, LLC @ Columbia Plant 2 (Drum)</t>
  </si>
  <si>
    <t xml:space="preserve">AMP080304      </t>
  </si>
  <si>
    <t>Hinkle Contracting @ Somerset (Drum)</t>
  </si>
  <si>
    <t xml:space="preserve">J H Rudolph @ Evansville Indiana </t>
  </si>
  <si>
    <t xml:space="preserve">AMP020304      </t>
  </si>
  <si>
    <t>J H Rudolph @ St Croix Indiana</t>
  </si>
  <si>
    <t>Jim Smith Contracting @ Graves County (Hickory)</t>
  </si>
  <si>
    <t>Scottys Contracting @ Bowling Green (South)</t>
  </si>
  <si>
    <t>Scottys Contracting @ Glasgow ("Rambo")</t>
  </si>
  <si>
    <t>Scottys Contracting @ Hartford</t>
  </si>
  <si>
    <t>Scottys Contracting @ Russellville</t>
  </si>
  <si>
    <t>Scottys Contracting @ Woodburn ("Boll Weevil")</t>
  </si>
  <si>
    <t>The Allen Company Lexington Quarry @ Nicholasville</t>
  </si>
  <si>
    <r>
      <t xml:space="preserve">numeric(3.0)
</t>
    </r>
    <r>
      <rPr>
        <b/>
        <sz val="9"/>
        <color indexed="12"/>
        <rFont val="Arial"/>
        <family val="2"/>
      </rPr>
      <t>Rounded to nearest whole number below.</t>
    </r>
  </si>
  <si>
    <t>ASPHCEM Code</t>
  </si>
  <si>
    <t>Control Points</t>
  </si>
  <si>
    <t>X-Plot</t>
  </si>
  <si>
    <t>Y-Plot</t>
  </si>
  <si>
    <t>TSR =</t>
  </si>
  <si>
    <t>Maximum Density Line</t>
  </si>
  <si>
    <t>1 - 1</t>
  </si>
  <si>
    <t>7 - 4</t>
  </si>
  <si>
    <t>14 - 3</t>
  </si>
  <si>
    <t>21 - 2</t>
  </si>
  <si>
    <t>28 - 1</t>
  </si>
  <si>
    <t>Bid Item</t>
  </si>
  <si>
    <t>0-20</t>
  </si>
  <si>
    <t>21-30</t>
  </si>
  <si>
    <t>34 - 4</t>
  </si>
  <si>
    <t>41 - 3</t>
  </si>
  <si>
    <t>48 - 2</t>
  </si>
  <si>
    <t>55 - 1</t>
  </si>
  <si>
    <t>61 - 4</t>
  </si>
  <si>
    <t>1 - 2</t>
  </si>
  <si>
    <t>8 - 1</t>
  </si>
  <si>
    <t>14 - 4</t>
  </si>
  <si>
    <t>21 - 3</t>
  </si>
  <si>
    <t>28 - 2</t>
  </si>
  <si>
    <t>35 - 1</t>
  </si>
  <si>
    <t>41 - 4</t>
  </si>
  <si>
    <t>48 - 3</t>
  </si>
  <si>
    <t>55 - 2</t>
  </si>
  <si>
    <t>62 - 1</t>
  </si>
  <si>
    <t>1 - 3</t>
  </si>
  <si>
    <t>8 - 2</t>
  </si>
  <si>
    <t>15 - 1</t>
  </si>
  <si>
    <t>21 - 4</t>
  </si>
  <si>
    <t>28 - 3</t>
  </si>
  <si>
    <t>Use KM 427</t>
  </si>
  <si>
    <t>35 - 2</t>
  </si>
  <si>
    <t>42 - 1</t>
  </si>
  <si>
    <t>48 - 4</t>
  </si>
  <si>
    <t>55 - 3</t>
  </si>
  <si>
    <t>62 - 2</t>
  </si>
  <si>
    <t>1 - 4</t>
  </si>
  <si>
    <t>8 - 3</t>
  </si>
  <si>
    <t>15 - 2</t>
  </si>
  <si>
    <t>22 - 1</t>
  </si>
  <si>
    <t>28 - 4</t>
  </si>
  <si>
    <t>35 - 3</t>
  </si>
  <si>
    <t>42 - 2</t>
  </si>
  <si>
    <t>49 - 1</t>
  </si>
  <si>
    <t>55 - 4</t>
  </si>
  <si>
    <t>62 - 3</t>
  </si>
  <si>
    <t>2 - 1</t>
  </si>
  <si>
    <t>8 - 4</t>
  </si>
  <si>
    <t>15 - 3</t>
  </si>
  <si>
    <t>22 - 2</t>
  </si>
  <si>
    <t>29 - 1</t>
  </si>
  <si>
    <t>35 - 4</t>
  </si>
  <si>
    <t>42 - 3</t>
  </si>
  <si>
    <t>49 - 2</t>
  </si>
  <si>
    <t>56 - 1</t>
  </si>
  <si>
    <t>62 - 4</t>
  </si>
  <si>
    <t>2 - 2</t>
  </si>
  <si>
    <t>9 - 1</t>
  </si>
  <si>
    <t>15 - 4</t>
  </si>
  <si>
    <t>22 - 3</t>
  </si>
  <si>
    <t>29 - 2</t>
  </si>
  <si>
    <t>36 - 1</t>
  </si>
  <si>
    <t>42 - 4</t>
  </si>
  <si>
    <t>49 - 3</t>
  </si>
  <si>
    <t>56 - 2</t>
  </si>
  <si>
    <t>C37</t>
  </si>
  <si>
    <t>9</t>
  </si>
  <si>
    <t>RAP Gsb field "label"</t>
  </si>
  <si>
    <t>varchar(18)
Binder: N/A</t>
  </si>
  <si>
    <t>63 - 1</t>
  </si>
  <si>
    <t>2 - 3</t>
  </si>
  <si>
    <t>9 - 2</t>
  </si>
  <si>
    <t>16 - 1</t>
  </si>
  <si>
    <t>22 - 4</t>
  </si>
  <si>
    <t>29 - 3</t>
  </si>
  <si>
    <t>36 - 2</t>
  </si>
  <si>
    <t>43 - 1</t>
  </si>
  <si>
    <t>49 - 4</t>
  </si>
  <si>
    <t>56 - 3</t>
  </si>
  <si>
    <t>63 - 2</t>
  </si>
  <si>
    <t>2 - 4</t>
  </si>
  <si>
    <t>9 - 3</t>
  </si>
  <si>
    <t>16 - 2</t>
  </si>
  <si>
    <t>23 - 1</t>
  </si>
  <si>
    <t>29 - 4</t>
  </si>
  <si>
    <t>36 - 3</t>
  </si>
  <si>
    <t>43 - 2</t>
  </si>
  <si>
    <t>50 - 1</t>
  </si>
  <si>
    <t>56 - 4</t>
  </si>
  <si>
    <t>63 - 3</t>
  </si>
  <si>
    <t>3 - 1</t>
  </si>
  <si>
    <t>9 - 4</t>
  </si>
  <si>
    <t>16 - 3</t>
  </si>
  <si>
    <t>23 - 2</t>
  </si>
  <si>
    <t>30 - 1</t>
  </si>
  <si>
    <t>36 - 4</t>
  </si>
  <si>
    <t>43 - 3</t>
  </si>
  <si>
    <t>50 - 2</t>
  </si>
  <si>
    <t>57 - 1</t>
  </si>
  <si>
    <t>63 - 4</t>
  </si>
  <si>
    <t>3 - 2</t>
  </si>
  <si>
    <t>10 - 1</t>
  </si>
  <si>
    <t>16 - 4</t>
  </si>
  <si>
    <t>23 - 3</t>
  </si>
  <si>
    <t>30 - 2</t>
  </si>
  <si>
    <t>37 - 1</t>
  </si>
  <si>
    <t>43 - 4</t>
  </si>
  <si>
    <t>50 - 3</t>
  </si>
  <si>
    <t>57 - 2</t>
  </si>
  <si>
    <t>64 - 1</t>
  </si>
  <si>
    <t>3 - 3</t>
  </si>
  <si>
    <t>10 - 2</t>
  </si>
  <si>
    <t>17 - 1</t>
  </si>
  <si>
    <t>23 - 4</t>
  </si>
  <si>
    <t>30 - 3</t>
  </si>
  <si>
    <t>37 - 2</t>
  </si>
  <si>
    <t>44 - 1</t>
  </si>
  <si>
    <t>50 - 4</t>
  </si>
  <si>
    <t>57 - 3</t>
  </si>
  <si>
    <t>64 - 2</t>
  </si>
  <si>
    <t>3 - 4</t>
  </si>
  <si>
    <t>10 - 3</t>
  </si>
  <si>
    <t>17 - 2</t>
  </si>
  <si>
    <t>24 - 1</t>
  </si>
  <si>
    <t>30 - 4</t>
  </si>
  <si>
    <t>SUP</t>
  </si>
  <si>
    <t>TON</t>
  </si>
  <si>
    <t>Always assigned as TONS for this discipline</t>
  </si>
  <si>
    <t>Existing on t_cd_tbl_dtl (cd_id)
AND t_cd_tbl_dtl.tbl_id='UNITS'</t>
  </si>
  <si>
    <t>Existing on t_tst_fee_schd</t>
  </si>
  <si>
    <t>Existing on t_cd_tbl_dtl (cd_id)
AND t_cd_tbl_dtl.tbl_id='ASPHCEM'</t>
  </si>
  <si>
    <t>Existing on t_smpl</t>
  </si>
  <si>
    <t>Existing on t_cd_tbl_dtl (cd_id)
AND t_cd_tbl_dtl.tbl_id='MIXDSN'</t>
  </si>
  <si>
    <t>varchar(18)</t>
  </si>
  <si>
    <t>F8</t>
  </si>
  <si>
    <t>F9</t>
  </si>
  <si>
    <t>F10</t>
  </si>
  <si>
    <t>F21</t>
  </si>
  <si>
    <t>F23</t>
  </si>
  <si>
    <t>F24</t>
  </si>
  <si>
    <t>F25</t>
  </si>
  <si>
    <t>F26</t>
  </si>
  <si>
    <t>F27</t>
  </si>
  <si>
    <t>F28</t>
  </si>
  <si>
    <t>F30</t>
  </si>
  <si>
    <t>F32</t>
  </si>
  <si>
    <t>F33</t>
  </si>
  <si>
    <t>F34</t>
  </si>
  <si>
    <t>F35</t>
  </si>
  <si>
    <t>F36</t>
  </si>
  <si>
    <t>F37</t>
  </si>
  <si>
    <t>F38</t>
  </si>
  <si>
    <t>F39</t>
  </si>
  <si>
    <t>F40</t>
  </si>
  <si>
    <t>F41</t>
  </si>
  <si>
    <t>F42</t>
  </si>
  <si>
    <t>F43</t>
  </si>
  <si>
    <t>F44</t>
  </si>
  <si>
    <t>F45</t>
  </si>
  <si>
    <t>F46</t>
  </si>
  <si>
    <t>F47</t>
  </si>
  <si>
    <t>F48</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</si>
  <si>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</si>
  <si>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</si>
  <si>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</si>
  <si>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</si>
  <si>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</si>
  <si>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</si>
  <si>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</si>
  <si>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</si>
  <si>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</si>
  <si>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</si>
  <si>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</si>
  <si>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</si>
  <si>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</si>
  <si>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</si>
  <si>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</si>
  <si>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</si>
  <si>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</si>
  <si>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</si>
  <si>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</si>
  <si>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</si>
  <si>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</si>
  <si>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</si>
  <si>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</si>
  <si>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</si>
  <si>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</si>
  <si>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</si>
  <si>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</si>
  <si>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</si>
  <si>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</si>
  <si>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</si>
  <si>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</si>
  <si>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</si>
  <si>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</si>
  <si>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</si>
  <si>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</si>
  <si>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</si>
  <si>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</si>
  <si>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</si>
  <si>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</si>
  <si>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</si>
  <si>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</si>
  <si>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</si>
  <si>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</si>
  <si>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</si>
  <si>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</si>
  <si>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</si>
  <si>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</si>
  <si>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</si>
  <si>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</si>
  <si>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</si>
  <si>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</si>
  <si>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</si>
  <si>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</si>
  <si>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</si>
  <si>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</si>
  <si>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</si>
  <si>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</si>
  <si>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</si>
  <si>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</si>
  <si>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</si>
  <si>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</si>
  <si>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</si>
  <si>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</si>
  <si>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</si>
  <si>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</si>
  <si>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</si>
  <si>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</si>
  <si>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</si>
  <si>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</si>
  <si>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</si>
  <si>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</si>
  <si>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</si>
  <si>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</si>
  <si>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</si>
  <si>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</si>
  <si>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</si>
  <si>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</si>
  <si>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</si>
  <si>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</si>
  <si>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</si>
  <si>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</si>
  <si>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</si>
  <si>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</si>
  <si>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</si>
  <si>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</si>
  <si>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</si>
  <si>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</si>
  <si>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</si>
  <si>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</si>
  <si>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</si>
  <si>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</si>
  <si>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</si>
  <si>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</si>
  <si>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</si>
  <si>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</si>
  <si>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</si>
  <si>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</si>
  <si>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</si>
  <si>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</si>
  <si>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</si>
  <si>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F153</t>
  </si>
  <si>
    <t>F154</t>
  </si>
  <si>
    <t>F155</t>
  </si>
  <si>
    <t>F156</t>
  </si>
  <si>
    <t>F157</t>
  </si>
  <si>
    <t>F158</t>
  </si>
  <si>
    <t>F159</t>
  </si>
  <si>
    <t>F160</t>
  </si>
  <si>
    <t>F161</t>
  </si>
  <si>
    <t>F162</t>
  </si>
  <si>
    <t>F163</t>
  </si>
  <si>
    <t>F164</t>
  </si>
  <si>
    <t>F165</t>
  </si>
  <si>
    <t>F166</t>
  </si>
  <si>
    <t>F167</t>
  </si>
  <si>
    <t>F168</t>
  </si>
  <si>
    <t>F169</t>
  </si>
  <si>
    <t>F170</t>
  </si>
  <si>
    <t>F171</t>
  </si>
  <si>
    <t>F172</t>
  </si>
  <si>
    <t>F173</t>
  </si>
  <si>
    <t>F174</t>
  </si>
  <si>
    <t>F175</t>
  </si>
  <si>
    <t>F176</t>
  </si>
  <si>
    <t>F177</t>
  </si>
  <si>
    <t>F178</t>
  </si>
  <si>
    <t>F179</t>
  </si>
  <si>
    <t>F180</t>
  </si>
  <si>
    <t>F181</t>
  </si>
  <si>
    <t>F182</t>
  </si>
  <si>
    <t>F183</t>
  </si>
  <si>
    <t>F184</t>
  </si>
  <si>
    <t>F185</t>
  </si>
  <si>
    <t>F186</t>
  </si>
  <si>
    <t>F187</t>
  </si>
  <si>
    <t>F188</t>
  </si>
  <si>
    <t>F189</t>
  </si>
  <si>
    <t>F190</t>
  </si>
  <si>
    <t>F191</t>
  </si>
  <si>
    <t>F192</t>
  </si>
  <si>
    <t>F193</t>
  </si>
  <si>
    <t>F194</t>
  </si>
  <si>
    <t>Mountain Enterprises @ Turkey Creek</t>
  </si>
  <si>
    <t xml:space="preserve">AMP070309      </t>
  </si>
  <si>
    <t>ATS @ Lexington (Old Richmond Road) (#17)</t>
  </si>
  <si>
    <t>F195</t>
  </si>
  <si>
    <t>F196</t>
  </si>
  <si>
    <t>F197</t>
  </si>
  <si>
    <t>F198</t>
  </si>
  <si>
    <t>F199</t>
  </si>
  <si>
    <t>F200</t>
  </si>
  <si>
    <t>F201</t>
  </si>
  <si>
    <t>F202</t>
  </si>
  <si>
    <t>F203</t>
  </si>
  <si>
    <t>F204</t>
  </si>
  <si>
    <t>F205</t>
  </si>
  <si>
    <t>F206</t>
  </si>
  <si>
    <t>F207</t>
  </si>
  <si>
    <t>F208</t>
  </si>
  <si>
    <t>F209</t>
  </si>
  <si>
    <t>F210</t>
  </si>
  <si>
    <t>F211</t>
  </si>
  <si>
    <t>F212</t>
  </si>
  <si>
    <t>F213</t>
  </si>
  <si>
    <t>F214</t>
  </si>
  <si>
    <t>F215</t>
  </si>
  <si>
    <t>F216</t>
  </si>
  <si>
    <t>F217</t>
  </si>
  <si>
    <t>F218</t>
  </si>
  <si>
    <t>F219</t>
  </si>
  <si>
    <t>F220</t>
  </si>
  <si>
    <t>F221</t>
  </si>
  <si>
    <t>F222</t>
  </si>
  <si>
    <t>F223</t>
  </si>
  <si>
    <t>F224</t>
  </si>
  <si>
    <t>F225</t>
  </si>
  <si>
    <t>F226</t>
  </si>
  <si>
    <t>F227</t>
  </si>
  <si>
    <t>F228</t>
  </si>
  <si>
    <t>F229</t>
  </si>
  <si>
    <t>F230</t>
  </si>
  <si>
    <t>F231</t>
  </si>
  <si>
    <t>F232</t>
  </si>
  <si>
    <t>F233</t>
  </si>
  <si>
    <t>F234</t>
  </si>
  <si>
    <t>F235</t>
  </si>
  <si>
    <t>F236</t>
  </si>
  <si>
    <t>F237</t>
  </si>
  <si>
    <t>F238</t>
  </si>
  <si>
    <t>F239</t>
  </si>
  <si>
    <t>F240</t>
  </si>
  <si>
    <t>F241</t>
  </si>
  <si>
    <t>F242</t>
  </si>
  <si>
    <t>F243</t>
  </si>
  <si>
    <t>F244</t>
  </si>
  <si>
    <t>F245</t>
  </si>
  <si>
    <t>F246</t>
  </si>
  <si>
    <t>F247</t>
  </si>
  <si>
    <t>F248</t>
  </si>
  <si>
    <t>F249</t>
  </si>
  <si>
    <t>F250</t>
  </si>
  <si>
    <t>F251</t>
  </si>
  <si>
    <t>F252</t>
  </si>
  <si>
    <t>F253</t>
  </si>
  <si>
    <t>% Gmm @ Ninitial</t>
  </si>
  <si>
    <t>% Gmm @ Nmax</t>
  </si>
  <si>
    <t>Unit Weight (lb/ft3)</t>
  </si>
  <si>
    <t>Gsb</t>
  </si>
  <si>
    <t>Gse</t>
  </si>
  <si>
    <t>Criteria - % Gmm @ Ninitial</t>
  </si>
  <si>
    <t>Criteria - % Gmm @ Nmax</t>
  </si>
  <si>
    <t>Gsb #2</t>
  </si>
  <si>
    <t>Gsb #3</t>
  </si>
  <si>
    <t>Gsb #4</t>
  </si>
  <si>
    <t>Gsb #5</t>
  </si>
  <si>
    <t>Gsb #6</t>
  </si>
  <si>
    <t>Unit Wt. (lb/ft3) =</t>
  </si>
  <si>
    <t>Gsb =</t>
  </si>
  <si>
    <t>LABEL: PROJECT INFORMATION</t>
  </si>
  <si>
    <t>LABEL: 4-PT. GYRATORY MIX DESIGN INFORMATION</t>
  </si>
  <si>
    <t>LABEL: Template Name:  AMMIXPACK</t>
  </si>
  <si>
    <t>LABEL: Descrip.:  MIX DESIGN SPREADSHEET</t>
  </si>
  <si>
    <t>LABEL: GRADATION INFORMATION</t>
  </si>
  <si>
    <t>LABEL: Sieve</t>
  </si>
  <si>
    <t>LABEL: JMF</t>
  </si>
  <si>
    <t>37 - 3</t>
  </si>
  <si>
    <t>44 - 2</t>
  </si>
  <si>
    <t>51 - 1</t>
  </si>
  <si>
    <t>57 - 4</t>
  </si>
  <si>
    <t>64 - 3</t>
  </si>
  <si>
    <t>4 - 1</t>
  </si>
  <si>
    <t>10 - 4</t>
  </si>
  <si>
    <t>17 - 3</t>
  </si>
  <si>
    <t>24 - 2</t>
  </si>
  <si>
    <t>31 - 1</t>
  </si>
  <si>
    <t>37 - 4</t>
  </si>
  <si>
    <t>44 - 3</t>
  </si>
  <si>
    <t>51 - 2</t>
  </si>
  <si>
    <t>58 - 1</t>
  </si>
  <si>
    <t>64 - 4</t>
  </si>
  <si>
    <t>4 - 2</t>
  </si>
  <si>
    <t>11 - 1</t>
  </si>
  <si>
    <t>17 - 4</t>
  </si>
  <si>
    <t>24 - 3</t>
  </si>
  <si>
    <t>31 - 2</t>
  </si>
  <si>
    <t>38 - 1</t>
  </si>
  <si>
    <t>44 - 4</t>
  </si>
  <si>
    <t>51 - 3</t>
  </si>
  <si>
    <t>58 - 2</t>
  </si>
  <si>
    <t>65 - 1</t>
  </si>
  <si>
    <t>4 - 3</t>
  </si>
  <si>
    <t>11 - 2</t>
  </si>
  <si>
    <t>18 - 1</t>
  </si>
  <si>
    <t>24 - 4</t>
  </si>
  <si>
    <t>31 - 3</t>
  </si>
  <si>
    <t>38 - 2</t>
  </si>
  <si>
    <t>45 - 1</t>
  </si>
  <si>
    <t>51 - 4</t>
  </si>
  <si>
    <t>58 - 3</t>
  </si>
  <si>
    <t>65 - 2</t>
  </si>
  <si>
    <t>4 - 4</t>
  </si>
  <si>
    <t>11 - 3</t>
  </si>
  <si>
    <t>18 - 2</t>
  </si>
  <si>
    <t>25 - 1</t>
  </si>
  <si>
    <t>31 - 4</t>
  </si>
  <si>
    <t>38 - 3</t>
  </si>
  <si>
    <t>45 - 2</t>
  </si>
  <si>
    <t>52 - 1</t>
  </si>
  <si>
    <t>58 - 4</t>
  </si>
  <si>
    <t>65 - 3</t>
  </si>
  <si>
    <t>5 - 1</t>
  </si>
  <si>
    <t>11 - 4</t>
  </si>
  <si>
    <t>18 - 3</t>
  </si>
  <si>
    <t>25 - 2</t>
  </si>
  <si>
    <t>32 - 1</t>
  </si>
  <si>
    <t>38 - 4</t>
  </si>
  <si>
    <t>45 - 3</t>
  </si>
  <si>
    <t>52 - 2</t>
  </si>
  <si>
    <t>59 - 1</t>
  </si>
  <si>
    <t>65 - 4</t>
  </si>
  <si>
    <t>5 - 2</t>
  </si>
  <si>
    <t>12 - 1</t>
  </si>
  <si>
    <t>18 - 4</t>
  </si>
  <si>
    <t>25 - 3</t>
  </si>
  <si>
    <t>32 - 2</t>
  </si>
  <si>
    <t>39 - 1</t>
  </si>
  <si>
    <t>45 - 4</t>
  </si>
  <si>
    <t>52 - 3</t>
  </si>
  <si>
    <t>59 - 2</t>
  </si>
  <si>
    <t>66 - 1</t>
  </si>
  <si>
    <t>5 - 3</t>
  </si>
  <si>
    <t>12 - 2</t>
  </si>
  <si>
    <t>19 - 1</t>
  </si>
  <si>
    <t>25 - 4</t>
  </si>
  <si>
    <t>32 - 3</t>
  </si>
  <si>
    <t>39 - 2</t>
  </si>
  <si>
    <t>46 - 1</t>
  </si>
  <si>
    <t>52 - 4</t>
  </si>
  <si>
    <t>59 - 3</t>
  </si>
  <si>
    <t>66 - 2</t>
  </si>
  <si>
    <t>5 - 4</t>
  </si>
  <si>
    <t>12 - 3</t>
  </si>
  <si>
    <t>19 - 2</t>
  </si>
  <si>
    <t>26 - 1</t>
  </si>
  <si>
    <t>32 - 4</t>
  </si>
  <si>
    <t>39 - 3</t>
  </si>
  <si>
    <t>46 - 2</t>
  </si>
  <si>
    <t>53 - 1</t>
  </si>
  <si>
    <t>59 - 4</t>
  </si>
  <si>
    <t>66 - 3</t>
  </si>
  <si>
    <t>6 - 1</t>
  </si>
  <si>
    <t>12 - 4</t>
  </si>
  <si>
    <t>19 - 3</t>
  </si>
  <si>
    <t>26 - 2</t>
  </si>
  <si>
    <t>33 - 1</t>
  </si>
  <si>
    <t>39 - 4</t>
  </si>
  <si>
    <t>46 - 3</t>
  </si>
  <si>
    <t>53 - 2</t>
  </si>
  <si>
    <t>60 - 1</t>
  </si>
  <si>
    <t>66 - 4</t>
  </si>
  <si>
    <t>6 - 2</t>
  </si>
  <si>
    <t>13 - 1</t>
  </si>
  <si>
    <t>19 - 4</t>
  </si>
  <si>
    <t>26 - 3</t>
  </si>
  <si>
    <t>33 - 2</t>
  </si>
  <si>
    <t>40 - 1</t>
  </si>
  <si>
    <t>46 - 4</t>
  </si>
  <si>
    <t>53 - 3</t>
  </si>
  <si>
    <t>60 - 2</t>
  </si>
  <si>
    <t>67 - 1</t>
  </si>
  <si>
    <t>6 - 3</t>
  </si>
  <si>
    <t>13 - 2</t>
  </si>
  <si>
    <t>20 - 1</t>
  </si>
  <si>
    <t>26 - 4</t>
  </si>
  <si>
    <t>33 - 3</t>
  </si>
  <si>
    <t>40 - 2</t>
  </si>
  <si>
    <t>47 - 1</t>
  </si>
  <si>
    <t>53 - 4</t>
  </si>
  <si>
    <t>60 - 3</t>
  </si>
  <si>
    <t>67 - 2</t>
  </si>
  <si>
    <t>6 - 4</t>
  </si>
  <si>
    <t>13 - 3</t>
  </si>
  <si>
    <t>20 - 2</t>
  </si>
  <si>
    <t>27 - 1</t>
  </si>
  <si>
    <t>33 - 4</t>
  </si>
  <si>
    <t>40 - 3</t>
  </si>
  <si>
    <t>47 - 2</t>
  </si>
  <si>
    <t>54 - 1</t>
  </si>
  <si>
    <t>60 - 4</t>
  </si>
  <si>
    <t>67 - 3</t>
  </si>
  <si>
    <t>7 - 1</t>
  </si>
  <si>
    <t>13 - 4</t>
  </si>
  <si>
    <t>20 - 3</t>
  </si>
  <si>
    <t>27 - 2</t>
  </si>
  <si>
    <t>34 - 1</t>
  </si>
  <si>
    <t>40 - 4</t>
  </si>
  <si>
    <t>47 - 3</t>
  </si>
  <si>
    <t>54 - 2</t>
  </si>
  <si>
    <t>61 - 1</t>
  </si>
  <si>
    <t>67 - 4</t>
  </si>
  <si>
    <t>7 - 2</t>
  </si>
  <si>
    <t>14 - 1</t>
  </si>
  <si>
    <t>20 - 4</t>
  </si>
  <si>
    <t>27 - 3</t>
  </si>
  <si>
    <t>34 - 2</t>
  </si>
  <si>
    <t>41 - 1</t>
  </si>
  <si>
    <t>47 - 4</t>
  </si>
  <si>
    <t>54 - 3</t>
  </si>
  <si>
    <t>61 - 2</t>
  </si>
  <si>
    <t>68 - 1</t>
  </si>
  <si>
    <t>7 - 3</t>
  </si>
  <si>
    <t>14 - 2</t>
  </si>
  <si>
    <t>21 - 1</t>
  </si>
  <si>
    <t>27 - 4</t>
  </si>
  <si>
    <t>34 - 3</t>
  </si>
  <si>
    <t>41 - 2</t>
  </si>
  <si>
    <t>48 - 1</t>
  </si>
  <si>
    <t>54 - 4</t>
  </si>
  <si>
    <t>61 - 3</t>
  </si>
  <si>
    <t>68 - 2</t>
  </si>
  <si>
    <t>00018 DRAINAGE BLANKET-TYPE II-ASPH</t>
  </si>
  <si>
    <t>00101 SAMI</t>
  </si>
  <si>
    <t>00203 CL2 ASPH BASE 1.50D PG64-22</t>
  </si>
  <si>
    <t>00205 CL3 ASPH BASE 1.50D PG64-22</t>
  </si>
  <si>
    <t>00207 CL3 ASPH BASE 1.50D PG76-22</t>
  </si>
  <si>
    <t>00208 CL4 ASPH BASE 1.50D PG64-22</t>
  </si>
  <si>
    <t>00210 CL4 ASPH BASE 1.50D PG76-22</t>
  </si>
  <si>
    <t>Y</t>
  </si>
  <si>
    <t>FORMAT: MMDDYYYY</t>
  </si>
  <si>
    <t>These three keys (and matl_cd from Header tab) must exist on t_cont_streq_matl.</t>
  </si>
  <si>
    <t>Received Date</t>
  </si>
  <si>
    <t>Actual Start Date</t>
  </si>
  <si>
    <r>
      <t xml:space="preserve">Type &amp; Size (ALL ...fld_val FIELDS) </t>
    </r>
    <r>
      <rPr>
        <b/>
        <sz val="10"/>
        <color indexed="10"/>
        <rFont val="Arial"/>
        <family val="2"/>
      </rPr>
      <t xml:space="preserve"> </t>
    </r>
    <r>
      <rPr>
        <b/>
        <sz val="10"/>
        <rFont val="Arial"/>
        <family val="2"/>
      </rPr>
      <t xml:space="preserve">AND
</t>
    </r>
    <r>
      <rPr>
        <sz val="10"/>
        <rFont val="Arial"/>
        <family val="2"/>
      </rPr>
      <t xml:space="preserve">
CHOOSE CASE tst_fld_sn </t>
    </r>
    <r>
      <rPr>
        <b/>
        <sz val="10"/>
        <color indexed="12"/>
        <rFont val="Arial"/>
        <family val="2"/>
      </rPr>
      <t xml:space="preserve"> [SM "Date" Format]</t>
    </r>
    <r>
      <rPr>
        <sz val="10"/>
        <rFont val="Arial"/>
        <family val="2"/>
      </rPr>
      <t xml:space="preserve">
      CASE </t>
    </r>
    <r>
      <rPr>
        <sz val="10"/>
        <color indexed="10"/>
        <rFont val="Arial"/>
        <family val="2"/>
      </rPr>
      <t>137</t>
    </r>
    <r>
      <rPr>
        <sz val="10"/>
        <rFont val="Arial"/>
        <family val="2"/>
      </rPr>
      <t xml:space="preserve">
            Make sure to format </t>
    </r>
    <r>
      <rPr>
        <b/>
        <sz val="10"/>
        <color indexed="10"/>
        <rFont val="Arial"/>
        <family val="2"/>
      </rPr>
      <t>MMDDYYYY</t>
    </r>
    <r>
      <rPr>
        <sz val="10"/>
        <rFont val="Arial"/>
        <family val="2"/>
      </rPr>
      <t xml:space="preserve">
ENDCASE
</t>
    </r>
  </si>
  <si>
    <t>00212 CL2 ASPH BASE 1.00D PG64-22</t>
  </si>
  <si>
    <t>If all four key fields are not present, DO NOT write a record to Sitemanager.</t>
  </si>
  <si>
    <t>00214 CL3 ASPH BASE 1.00D PG64-22</t>
  </si>
  <si>
    <t>00216 CL3 ASPH BASE 1.00D PG76-22</t>
  </si>
  <si>
    <t>00217 CL4 ASPH BASE 1.00D PG64-22</t>
  </si>
  <si>
    <t>00219 CL4 ASPH BASE 1.00D PG76-22</t>
  </si>
  <si>
    <t>00221 CL2 ASPH BASE 0.75D PG64-22</t>
  </si>
  <si>
    <t>00223 CL3 ASPH BASE 0.75D PG64-22</t>
  </si>
  <si>
    <t>00225 CL3 ASPH BASE 0.75D PG76-22</t>
  </si>
  <si>
    <t>00226 CL4 ASPH BASE 0.75D PG64-22</t>
  </si>
  <si>
    <t>00228 CL4 ASPH BASE 0.75D PG76-22</t>
  </si>
  <si>
    <t>00267 ASPH SURF OPEN-GRADED PG64-22</t>
  </si>
  <si>
    <t>00268 ASPH SURF OPEN-GRADED PG76-22</t>
  </si>
  <si>
    <t>00269 MODIFIED OPEN-GRADED DRAINAGE COURSE</t>
  </si>
  <si>
    <t>00272 CL2 ASPH BIND 0.50D PG64-22</t>
  </si>
  <si>
    <t>00274 CL3 ASPH BIND 0.50D PG64-22</t>
  </si>
  <si>
    <t>00276 CL3 ASPH BIND 0.50D PG76-22</t>
  </si>
  <si>
    <t>00277 CL4 ASPH BIND 0.50D PG64-22</t>
  </si>
  <si>
    <t>Re-enable t_bit_conc_mixblnd tab (and adjust Material Codes properly on Design Data tab so that no duplicates are found).</t>
  </si>
  <si>
    <t>00279 CL4 ASPH BIND 0.50D PG76-22</t>
  </si>
  <si>
    <t>00301 CL2 ASPH SURF 0.38D PG64-22</t>
  </si>
  <si>
    <t>00307 CL2 ASPH SURF 0.38B PG64-22</t>
  </si>
  <si>
    <t>00309 CL2 ASPH SURF 0.50D PG64-22</t>
  </si>
  <si>
    <t>00312 CL3 ASPH SURF 0.50D PG64-22</t>
  </si>
  <si>
    <t>00324 CL3 ASPH SURF 0.50B PG64-22</t>
  </si>
  <si>
    <t>00327 CL4 ASPH SURF 0.50B PG64-22</t>
  </si>
  <si>
    <t>(must equal sum on Project Items tab)</t>
  </si>
  <si>
    <t>Other</t>
  </si>
  <si>
    <t>See Applicable Spec.</t>
  </si>
  <si>
    <t>00329 CL4 ASPH SURF 0.50B PG76-22</t>
  </si>
  <si>
    <t>00330 CL3 ASPH SURF 0.50A PG64-22</t>
  </si>
  <si>
    <t>00332 CL3 ASPH SURF 0.50A PG76-22</t>
  </si>
  <si>
    <t>00333 CL4 ASPH SURF 0.50A PG64-22</t>
  </si>
  <si>
    <t>00335 CL4 ASPH SURF 0.50A PG76-22</t>
  </si>
  <si>
    <t>00336 CL3 ASPH SURF 0.38A PG76-22</t>
  </si>
  <si>
    <t>00337 CL4 ASPH SURF 0.38B PG76-22</t>
  </si>
  <si>
    <t>00339 CL3 ASPH SURF 0.38D PG64-22</t>
  </si>
  <si>
    <t>00340 CL2 ASPH SURF 0.38D PG76-22</t>
  </si>
  <si>
    <t>00342 CL4 ASPH SURF 0.38A PG76-22</t>
  </si>
  <si>
    <t>01897 ASPHALT WEDGE CURB</t>
  </si>
  <si>
    <t>01935 MOUNTABLE MEDIAN TYPE 1</t>
  </si>
  <si>
    <t>01936 MOUNTABLE MEDIAN TYPE 1 MOD</t>
  </si>
  <si>
    <t>TDS</t>
  </si>
  <si>
    <t>Attached new map which includes the root sample id (filename).  The new map also ensures all dates from excel are in the same formate (serial date).  Conversion to normal date and format is handled in the applet.  All dates are tested for validity and that they don't exceed the current system date.</t>
  </si>
  <si>
    <t>01937 MOUNTABLE MEDIAN TYPE 2</t>
  </si>
  <si>
    <t>01939 MOUNTABLE MEDIAN TYPE 3</t>
  </si>
  <si>
    <t>01940 MOUNTABLE MEDIAN TYPE 3 MOD</t>
  </si>
  <si>
    <t>01941 MOUNTABLE MEDIAN TYPE 4</t>
  </si>
  <si>
    <t>01943 MOUNTABLE MEDIAN TYPE 5</t>
  </si>
  <si>
    <t>01945 MOUNTABLE MEDIAN TYPE 1A</t>
  </si>
  <si>
    <t>01946 MOUNTABLE MEDIAN TYPE 2A</t>
  </si>
  <si>
    <t>01947 MOUNTABLE MEDIAN TYPE 3A</t>
  </si>
  <si>
    <t>01949 MOUNTABLE MEDIAN TYPE 6A</t>
  </si>
  <si>
    <t>01950 MOUNTABLE MEDIAN TYPE 7A</t>
  </si>
  <si>
    <t>LABEL: MCL CONSENSUS (&amp; ADDITIONAL) VERIFICATION INFORMATION</t>
  </si>
  <si>
    <t>LABEL: 1-Pt. CHECK PROPERTIES</t>
  </si>
  <si>
    <t>LABEL: MIX DESIGN AGGREGATE INFORMATION</t>
  </si>
  <si>
    <t>LABEL: TSR INFORMATION</t>
  </si>
  <si>
    <t>LABEL: APPROVAL INFORMATION</t>
  </si>
  <si>
    <t>00374 ASPH SURF SAND TY II PG64-22</t>
  </si>
  <si>
    <t>Hinkle Asphalt @ Avon</t>
  </si>
  <si>
    <t>Midwest Terminal @ Paducah</t>
  </si>
  <si>
    <t>Shelbyville Asphalt Terminal @ Shelbyville</t>
  </si>
  <si>
    <t>ATS Asphalt Terminal @ Lexington</t>
  </si>
  <si>
    <t>BP Amoco @ Whiting, IN</t>
  </si>
  <si>
    <t>Buckeye Asphalt @ Cincinnati, OH</t>
  </si>
  <si>
    <t>Ergon @ Nashville, TN</t>
  </si>
  <si>
    <t>Tanco Clark Maritime @ Jeffersonville, IN</t>
  </si>
  <si>
    <t>Terry Asphalt @ Hamilton, OH</t>
  </si>
  <si>
    <t>Marathon/Ashland @ Ashland</t>
  </si>
  <si>
    <t>Marathon/Ashland @ Big Sandy</t>
  </si>
  <si>
    <t>10425</t>
  </si>
  <si>
    <t>10430</t>
  </si>
  <si>
    <t>10435</t>
  </si>
  <si>
    <t>10436</t>
  </si>
  <si>
    <t>10437</t>
  </si>
  <si>
    <t>10440</t>
  </si>
  <si>
    <t>24025</t>
  </si>
  <si>
    <t>Criteria - % Air Voids</t>
  </si>
  <si>
    <t>Criteria - % AC</t>
  </si>
  <si>
    <t>Criteria - % TSR without additive</t>
  </si>
  <si>
    <t>Criteria - % TSR with additive</t>
  </si>
  <si>
    <t>Notes</t>
  </si>
  <si>
    <t>RAP MSG's (2)</t>
  </si>
  <si>
    <t>M32</t>
  </si>
  <si>
    <t>$</t>
  </si>
  <si>
    <t>AGG. PROD. NO. #2</t>
  </si>
  <si>
    <t>AGG. PROD. NO. #3</t>
  </si>
  <si>
    <t>AGG. PROD. NO. #4</t>
  </si>
  <si>
    <t>AGG. PROD. NO. #5</t>
  </si>
  <si>
    <t>AGG. PROD. NO. #6</t>
  </si>
  <si>
    <t>PRODUCER NAME #2</t>
  </si>
  <si>
    <t>PRODUCER NAME #3</t>
  </si>
  <si>
    <t>Recycle selected:  Use PG 76-22 virgin binder.</t>
  </si>
  <si>
    <t>LU00642</t>
  </si>
  <si>
    <t>LU01210</t>
  </si>
  <si>
    <t>LU02210</t>
  </si>
  <si>
    <t>LU03210</t>
  </si>
  <si>
    <t>LU04210</t>
  </si>
  <si>
    <t>LU05210</t>
  </si>
  <si>
    <t>LU06210</t>
  </si>
  <si>
    <t>LU07210</t>
  </si>
  <si>
    <t>LU08210</t>
  </si>
  <si>
    <t>LU09210</t>
  </si>
  <si>
    <t>LU10210</t>
  </si>
  <si>
    <t>LU11210</t>
  </si>
  <si>
    <t>LU12210</t>
  </si>
  <si>
    <t>LAB UNIT:</t>
  </si>
  <si>
    <t>1.50</t>
  </si>
  <si>
    <t>1.00</t>
  </si>
  <si>
    <t>0.50</t>
  </si>
  <si>
    <t>LAP100802</t>
  </si>
  <si>
    <t>Hinkle Contracting @ Bethelridge (Drum)</t>
  </si>
  <si>
    <t xml:space="preserve">AMP080305      </t>
  </si>
  <si>
    <t>Scottys Contracting @ Leitchfield (Drum #3)</t>
  </si>
  <si>
    <t>AMP040308</t>
  </si>
  <si>
    <t>00385 CL3 ASPH SURF 0.38A PG64-22</t>
  </si>
  <si>
    <t xml:space="preserve">AMP100303      </t>
  </si>
  <si>
    <t>23128ES403 CL4 ASPH SURF 0.38A PG64-22</t>
  </si>
  <si>
    <t>23142ES403 CL4 ASPH SURF 0.38B PG64-22</t>
  </si>
  <si>
    <t>Hinkle Asphalt @ Somerset</t>
  </si>
  <si>
    <t>PRODUCER NAME #4</t>
  </si>
  <si>
    <t>PRODUCER NAME #5</t>
  </si>
  <si>
    <t>Dolomite #67's</t>
  </si>
  <si>
    <t>Dolomite #68's</t>
  </si>
  <si>
    <t>Dolomite #78's</t>
  </si>
  <si>
    <t>Dolomite #8's</t>
  </si>
  <si>
    <t>Dolomite #9M's</t>
  </si>
  <si>
    <t>Marathon/Ashland @ Cane Run</t>
  </si>
  <si>
    <t>Siltstone #67's</t>
  </si>
  <si>
    <t>Siltstone #78's</t>
  </si>
  <si>
    <t>Siltstone #8's</t>
  </si>
  <si>
    <t>Siltstone #9M's</t>
  </si>
  <si>
    <t>Siltsone Sand</t>
  </si>
  <si>
    <t>LSS Anti-Skid A (Washed)</t>
  </si>
  <si>
    <t>LSS Anti-Skid A (Unwashed)</t>
  </si>
  <si>
    <t>LSS Anti-Skid B (Unwashed)</t>
  </si>
  <si>
    <t>LSS Anti-Skid B (Washed)</t>
  </si>
  <si>
    <t>v3.0</t>
  </si>
  <si>
    <t>Marathon/Ashland @ Cincinnati, OH</t>
  </si>
  <si>
    <t>Marathon/Ashland @ Knoxville, TN</t>
  </si>
  <si>
    <t>Marathon/Ashland @ Kuttawa</t>
  </si>
  <si>
    <t>Marathon/Ashland @ Mt. Vernon, IN</t>
  </si>
  <si>
    <t>Marathon/Ashland @ Nashville, TN</t>
  </si>
  <si>
    <t>MDH/MTB</t>
  </si>
  <si>
    <t>Gravel #57's</t>
  </si>
  <si>
    <t>Gravel #67's</t>
  </si>
  <si>
    <t>Granite #78's</t>
  </si>
  <si>
    <t>Granite #67's</t>
  </si>
  <si>
    <t>Granite #8's</t>
  </si>
  <si>
    <t>Granite #9M's</t>
  </si>
  <si>
    <t>Granite Sand</t>
  </si>
  <si>
    <t>Ergon @ Knoxville, TN</t>
  </si>
  <si>
    <t>Deployed new version 5.02/Discipline v2.0.</t>
  </si>
  <si>
    <t>Marathon/Ashland @ North Bend, OH</t>
  </si>
  <si>
    <t>LAP100201</t>
  </si>
  <si>
    <t>LAP100301</t>
  </si>
  <si>
    <t>LAP100401</t>
  </si>
  <si>
    <t>LAP100601</t>
  </si>
  <si>
    <t>LAP100801</t>
  </si>
  <si>
    <t>LAP101001</t>
  </si>
  <si>
    <t>LAP101002</t>
  </si>
  <si>
    <t>LAP101008</t>
  </si>
  <si>
    <t>LAP101007</t>
  </si>
  <si>
    <t>LAP101005</t>
  </si>
  <si>
    <t>LAP101009</t>
  </si>
  <si>
    <t>LAP101006</t>
  </si>
  <si>
    <t>LAP101003</t>
  </si>
  <si>
    <t>LAP101101</t>
  </si>
  <si>
    <t>LAP101201</t>
  </si>
  <si>
    <t>LAP101401</t>
  </si>
  <si>
    <t>LAP101501</t>
  </si>
  <si>
    <t>LAP101301</t>
  </si>
  <si>
    <t>Murray Paving @ Murray</t>
  </si>
  <si>
    <t>Rogers Group @ Marion</t>
  </si>
  <si>
    <t>Jim Smith Contracting @ Paducah</t>
  </si>
  <si>
    <t>Greenville Quarries @ Greenville</t>
  </si>
  <si>
    <t>Madisonville Paving @ Madisonville</t>
  </si>
  <si>
    <t>Rogers Group @ Henderson</t>
  </si>
  <si>
    <t>Owensboro Paving @ Owensboro (Drum)</t>
  </si>
  <si>
    <t>Mago Construction @ Hardinsburg</t>
  </si>
  <si>
    <t>Mago Construction @ Irvington</t>
  </si>
  <si>
    <t>Nally &amp; Haydon @ Lebanon</t>
  </si>
  <si>
    <t>Shelbyville Asphalt @ Shelbyville</t>
  </si>
  <si>
    <t>Flynn Brothers Contracting @ Louisville</t>
  </si>
  <si>
    <t>Mago Construction @ Lockport</t>
  </si>
  <si>
    <t>Mago Construction @ Shepherdsville</t>
  </si>
  <si>
    <t>Ohio Valley Asphalt @ Brownsboro</t>
  </si>
  <si>
    <t>Eaton Asphalt Paving @ Richwood</t>
  </si>
  <si>
    <t>Mago Construction @ Foster</t>
  </si>
  <si>
    <t>Bluegrass Paving @ Florence</t>
  </si>
  <si>
    <t>Eaton Asphalt Paving @ Verona</t>
  </si>
  <si>
    <t>Mago Construction @ Butler</t>
  </si>
  <si>
    <t>Ohio Valley Asphalt @ Carrollton</t>
  </si>
  <si>
    <t>Limestone #357's</t>
  </si>
  <si>
    <t>Limestone #467's</t>
  </si>
  <si>
    <t>Limestone #4's</t>
  </si>
  <si>
    <t>Limestone #57's</t>
  </si>
  <si>
    <t>Limestone #5's</t>
  </si>
  <si>
    <t>Limestone #67's</t>
  </si>
  <si>
    <t>Limestone #68's</t>
  </si>
  <si>
    <t>Limestone #78's</t>
  </si>
  <si>
    <t>Limestone #8's</t>
  </si>
  <si>
    <t>Limestone #9M's</t>
  </si>
  <si>
    <t>Limestone DGA</t>
  </si>
  <si>
    <t>Mineral Filler</t>
  </si>
  <si>
    <t>ROM</t>
  </si>
  <si>
    <t>Slag #57's</t>
  </si>
  <si>
    <t>Elmo Greer &amp; Sons @ Corbin</t>
  </si>
  <si>
    <t>Elmo Greer &amp; Sons @ Fariston</t>
  </si>
  <si>
    <t>Mountain Enterprises @ Cumberland</t>
  </si>
  <si>
    <t>Mountain Enterprises @ Inez</t>
  </si>
  <si>
    <t>Mountain Enterprises @ Louisa</t>
  </si>
  <si>
    <t>Mountain Enterprises @ Jenkins</t>
  </si>
  <si>
    <t>Mountain Enterprises @ Martin</t>
  </si>
  <si>
    <t>Mountain Enterprises @ Paintsville</t>
  </si>
  <si>
    <t>Mountain Enterprises @ Shelbiana</t>
  </si>
  <si>
    <t>PG64-22</t>
  </si>
  <si>
    <t>PG58-22</t>
  </si>
  <si>
    <t>PG58-28</t>
  </si>
  <si>
    <t>PG64-28</t>
  </si>
  <si>
    <t>PG64-34</t>
  </si>
  <si>
    <t>PG70-22</t>
  </si>
  <si>
    <t>PG70-28</t>
  </si>
  <si>
    <t>PG76-22</t>
  </si>
  <si>
    <t>PG76-28</t>
  </si>
  <si>
    <t>PG82-22</t>
  </si>
  <si>
    <t>PG82-28</t>
  </si>
  <si>
    <t>CRS-2P</t>
  </si>
  <si>
    <t>LETTING DATE:</t>
  </si>
  <si>
    <t>SM ID NUM.:</t>
  </si>
  <si>
    <t>&gt;30</t>
  </si>
  <si>
    <t>N/A</t>
  </si>
  <si>
    <t>00190 LEVELING &amp; WEDGING (0.38-IN.) PG64-22</t>
  </si>
  <si>
    <t>00190 LEVELING &amp; WEDGING (0.50-IN.) PG64-22</t>
  </si>
  <si>
    <t>00190 LEVELING &amp; WEDGING (0.75-IN.) PG64-22</t>
  </si>
  <si>
    <t>00190 LEVELING &amp; WEDGING (1.00-IN.) PG64-22</t>
  </si>
  <si>
    <t>00190 LEVELING &amp; WEDGING (1.50-IN.) PG64-22</t>
  </si>
  <si>
    <t>00191 ASPHALT SCRATCH COURSE (0.38-IN.) PG64-22</t>
  </si>
  <si>
    <t>00191 ASPHALT SCRATCH COURSE (0.50-IN.) PG64-22</t>
  </si>
  <si>
    <t>00191 ASPHALT SCRATCH COURSE (0.75-IN.) PG64-22</t>
  </si>
  <si>
    <t>00191 ASPHALT SCRATCH COURSE (1.00-IN.) PG64-22</t>
  </si>
  <si>
    <t>00191 ASPHALT SCRATCH COURSE (1.50-IN.) PG64-22</t>
  </si>
  <si>
    <t>Replaced Lab, Sampler, and Tester data with valid KQTL data.</t>
  </si>
  <si>
    <t>MDH</t>
  </si>
  <si>
    <t>Fixed edit on t_smpl.smpl_mix_id (SUPERPAVE not blank - which Troy was actually defaulting to the original PCC test done with the other concrete-based spreadsheets).</t>
  </si>
  <si>
    <t>MB &amp; MH</t>
  </si>
  <si>
    <t>Adjustments to data to correspond to SM database (and thereby avoid edit errors).</t>
  </si>
  <si>
    <t>00193 ASPHALT SCRATCH COURSE (0.38-IN.) PG76-22</t>
  </si>
  <si>
    <t>00193 ASPHALT SCRATCH COURSE (0.50-IN.) PG76-22</t>
  </si>
  <si>
    <t>00193 ASPHALT SCRATCH COURSE (0.75-IN.) PG76-22</t>
  </si>
  <si>
    <t>00193 ASPHALT SCRATCH COURSE (1.00-IN.) PG76-22</t>
  </si>
  <si>
    <t>00193 ASPHALT SCRATCH COURSE (1.50-IN.) PG76-22</t>
  </si>
  <si>
    <t>00194 LEVELING &amp; WEDGING (0.38-IN.) PG76-22</t>
  </si>
  <si>
    <t>00194 LEVELING &amp; WEDGING (0.50-IN.) PG76-22</t>
  </si>
  <si>
    <t>00194 LEVELING &amp; WEDGING (0.75-IN.) PG76-22</t>
  </si>
  <si>
    <t>00194 LEVELING &amp; WEDGING (1.00-IN.) PG76-22</t>
  </si>
  <si>
    <t>00194 LEVELING &amp; WEDGING (1.50-IN.) PG76-22</t>
  </si>
  <si>
    <t>00263 ASPHALT MIX FOR PAVEMENT WEDGE (0.38-IN.)</t>
  </si>
  <si>
    <t>00263 ASPHALT MIX FOR PAVEMENT WEDGE (0.50-IN.)</t>
  </si>
  <si>
    <t>00263 ASPHALT MIX FOR PAVEMENT WEDGE (0.75-IN.)</t>
  </si>
  <si>
    <t>00263 ASPHALT MIX FOR PAVEMENT WEDGE (1.00-IN.)</t>
  </si>
  <si>
    <t>00263 ASPHALT MIX FOR PAVEMENT WEDGE (1.50-IN.)</t>
  </si>
  <si>
    <t>21683ES400 CL2 ASPH BASE 0.75D PG76-22</t>
  </si>
  <si>
    <t>20696ES403 CL2 ASPH BASE 1.0D PG76-22</t>
  </si>
  <si>
    <t>20761ES403 CL2 ASPH SURF 0.38D PG64-22(SLAG)</t>
  </si>
  <si>
    <t>21653ES403 CL2 ASPH SURF NO.4D PG64-22</t>
  </si>
  <si>
    <t>20469ES403 CL3 ASPH SURF 0.38B PG76-22</t>
  </si>
  <si>
    <t>21001ES400 CL4 ASPH SURF 0.38D PG64-22</t>
  </si>
  <si>
    <t>7622</t>
  </si>
  <si>
    <t>6422</t>
  </si>
  <si>
    <t>NO. 4</t>
  </si>
  <si>
    <t>M291</t>
  </si>
  <si>
    <t>M294</t>
  </si>
  <si>
    <t>M303</t>
  </si>
  <si>
    <t>M311</t>
  </si>
  <si>
    <t>M317</t>
  </si>
  <si>
    <t>M329</t>
  </si>
  <si>
    <t>Bid Item Not In Drop-Down List</t>
  </si>
  <si>
    <t>ASPH BASE</t>
  </si>
  <si>
    <t>ASPH BIND</t>
  </si>
  <si>
    <t>ASPH SURF</t>
  </si>
  <si>
    <t>CL1</t>
  </si>
  <si>
    <t>CL2</t>
  </si>
  <si>
    <t>CL3</t>
  </si>
  <si>
    <t>CL4</t>
  </si>
  <si>
    <t>0.75</t>
  </si>
  <si>
    <t>0.38</t>
  </si>
  <si>
    <t>Agg Des.</t>
  </si>
  <si>
    <t>D</t>
  </si>
  <si>
    <t>PG Binder Grade</t>
  </si>
  <si>
    <t>03240 BASE FAILURE REPAIR (0.75-IN) PG64-22</t>
  </si>
  <si>
    <t>03240 BASE FAILURE REPAIR (0.75-IN) PG76-22</t>
  </si>
  <si>
    <t>03240 BASE FAILURE REPAIR (1.00-IN) PG64-22</t>
  </si>
  <si>
    <t>03240 BASE FAILURE REPAIR (1.00-IN) PG76-22</t>
  </si>
  <si>
    <t>03240 BASE FAILURE REPAIR (1.50-IN) PG64-22</t>
  </si>
  <si>
    <t>03240 BASE FAILURE REPAIR (1.50-IN) PG76-22</t>
  </si>
  <si>
    <t>06427 TRENCHING (0.38-IN.) PG64-22</t>
  </si>
  <si>
    <t>06427 TRENCHING (0.38-IN.) PG76-22</t>
  </si>
  <si>
    <t>06427 TRENCHING (0.50-IN.) PG64-22</t>
  </si>
  <si>
    <t>06427 TRENCHING (0.50-IN.) PG76-22</t>
  </si>
  <si>
    <t>06427 TRENCHING (0.75-IN.) PG64-22</t>
  </si>
  <si>
    <t>06427 TRENCHING (0.75-IN.) PG76-22</t>
  </si>
  <si>
    <t>06427 TRENCHING (1.00-IN.) PG64-22</t>
  </si>
  <si>
    <t>06427 TRENCHING (1.00-IN.) PG76-22</t>
  </si>
  <si>
    <t>06427 TRENCHING (1.50-IN.) PG64-22</t>
  </si>
  <si>
    <t>06427 TRENCHING (1.50-IN.) PG76-22</t>
  </si>
  <si>
    <t>1 1/2"</t>
  </si>
  <si>
    <t>1"</t>
  </si>
  <si>
    <t>3/4"</t>
  </si>
  <si>
    <t>1/2"</t>
  </si>
  <si>
    <t>3/8"</t>
  </si>
  <si>
    <t>2"</t>
  </si>
  <si>
    <t>Bind. Gr.</t>
  </si>
  <si>
    <t>ESAL</t>
  </si>
  <si>
    <t>Mat. Code</t>
  </si>
  <si>
    <t>Max.</t>
  </si>
  <si>
    <t>NMAS</t>
  </si>
  <si>
    <t>ATDB</t>
  </si>
  <si>
    <t>SA TY II</t>
  </si>
  <si>
    <t>Inches</t>
  </si>
  <si>
    <t>mm</t>
  </si>
  <si>
    <t>Upper</t>
  </si>
  <si>
    <t>Lower</t>
  </si>
  <si>
    <t>ATDB JMF</t>
  </si>
  <si>
    <t>OGFC</t>
  </si>
  <si>
    <t>OGDC</t>
  </si>
  <si>
    <t>OGDC JMF</t>
  </si>
  <si>
    <t>Metric?</t>
  </si>
  <si>
    <t>E</t>
  </si>
  <si>
    <t>CONTRACT ID:</t>
  </si>
  <si>
    <t>sure the correct tonnage appears below.</t>
  </si>
  <si>
    <t>Skid Data</t>
  </si>
  <si>
    <t>AASHTO M323 &amp; R35</t>
  </si>
  <si>
    <t>SUBMITTAL TYPE:</t>
  </si>
  <si>
    <t>New Mix Design</t>
  </si>
  <si>
    <t>MIX/COMP TEMP:</t>
  </si>
  <si>
    <t>Ref. Mix Design (project change only)</t>
  </si>
  <si>
    <t>Binder Source</t>
  </si>
  <si>
    <t>Binder Grade</t>
  </si>
  <si>
    <t>Plant</t>
  </si>
  <si>
    <t>1-Point Check</t>
  </si>
  <si>
    <t>300/265 (deg. F)</t>
  </si>
  <si>
    <t>See Special Prov. 79</t>
  </si>
  <si>
    <t>Cont. ID:</t>
  </si>
  <si>
    <t>t_cont_smpl</t>
  </si>
  <si>
    <t>prj_nbr</t>
  </si>
  <si>
    <t>ln_itm_nbr</t>
  </si>
  <si>
    <t>repr_qty</t>
  </si>
  <si>
    <t>Not Stored on the SM database</t>
  </si>
  <si>
    <t>Project</t>
  </si>
  <si>
    <t>Line Item</t>
  </si>
  <si>
    <t>Represented</t>
  </si>
  <si>
    <t>Item</t>
  </si>
  <si>
    <t>Number</t>
  </si>
  <si>
    <t>Quantity</t>
  </si>
  <si>
    <t>Code</t>
  </si>
  <si>
    <t>Contractor Entries</t>
  </si>
  <si>
    <t>(in item code unit)</t>
  </si>
  <si>
    <t>Unit</t>
  </si>
  <si>
    <t xml:space="preserve">   (Add as many rows as required)</t>
  </si>
  <si>
    <t>TOTAL TONS:</t>
  </si>
  <si>
    <t>PROJ. (ITEM):</t>
  </si>
  <si>
    <t>SiteManager Agg. ID #</t>
  </si>
  <si>
    <r>
      <t>Con. G</t>
    </r>
    <r>
      <rPr>
        <b/>
        <vertAlign val="subscript"/>
        <sz val="8"/>
        <rFont val="Arial"/>
        <family val="2"/>
      </rPr>
      <t>sb</t>
    </r>
  </si>
  <si>
    <t>S/C</t>
  </si>
  <si>
    <t>MCL Aggregate Verification Information</t>
  </si>
  <si>
    <t>MCL Concensus (&amp; additional) Verification Information</t>
  </si>
  <si>
    <t>TEST TYPE</t>
  </si>
  <si>
    <t>Cell</t>
  </si>
  <si>
    <t>Type</t>
  </si>
  <si>
    <t>Label</t>
  </si>
  <si>
    <t>Length</t>
  </si>
  <si>
    <t>English unit</t>
  </si>
  <si>
    <t>Alphanumeric</t>
  </si>
  <si>
    <t>C11</t>
  </si>
  <si>
    <t>E11</t>
  </si>
  <si>
    <t>C12</t>
  </si>
  <si>
    <t>E12</t>
  </si>
  <si>
    <t>Numeric</t>
  </si>
  <si>
    <t>C13</t>
  </si>
  <si>
    <t>E13</t>
  </si>
  <si>
    <t>C14</t>
  </si>
  <si>
    <t>E14</t>
  </si>
  <si>
    <t>C15</t>
  </si>
  <si>
    <t>E15</t>
  </si>
  <si>
    <t>Tons</t>
  </si>
  <si>
    <t>D19</t>
  </si>
  <si>
    <t>E19</t>
  </si>
  <si>
    <t>F19</t>
  </si>
  <si>
    <t>D26</t>
  </si>
  <si>
    <t>D27</t>
  </si>
  <si>
    <t>D28</t>
  </si>
  <si>
    <t>I31</t>
  </si>
  <si>
    <t>D32</t>
  </si>
  <si>
    <t>D33</t>
  </si>
  <si>
    <t>D34</t>
  </si>
  <si>
    <t>D17</t>
  </si>
  <si>
    <t>B22</t>
  </si>
  <si>
    <t>H23</t>
  </si>
  <si>
    <t>GRADATION INFORMATION</t>
  </si>
  <si>
    <t>cd_id</t>
  </si>
  <si>
    <t>M001</t>
  </si>
  <si>
    <t>M003</t>
  </si>
  <si>
    <t>M004</t>
  </si>
  <si>
    <t>M005</t>
  </si>
  <si>
    <t>M006</t>
  </si>
  <si>
    <t>M007</t>
  </si>
  <si>
    <t>M013</t>
  </si>
  <si>
    <t>M014</t>
  </si>
  <si>
    <t>M015</t>
  </si>
  <si>
    <t>M016</t>
  </si>
  <si>
    <t>M017</t>
  </si>
  <si>
    <t>M033</t>
  </si>
  <si>
    <t>M034</t>
  </si>
  <si>
    <t>M035</t>
  </si>
  <si>
    <t>MTB</t>
  </si>
  <si>
    <t>Corrected error on 'Chart Data' chell Q14</t>
  </si>
  <si>
    <t>M036</t>
  </si>
  <si>
    <t>M037</t>
  </si>
  <si>
    <t>M043</t>
  </si>
  <si>
    <t>M044</t>
  </si>
  <si>
    <t>M045</t>
  </si>
  <si>
    <t>English</t>
  </si>
  <si>
    <t>Metric</t>
  </si>
  <si>
    <t>M046</t>
  </si>
  <si>
    <t>M047</t>
  </si>
  <si>
    <t>M055</t>
  </si>
  <si>
    <t>M059</t>
  </si>
  <si>
    <t>M063</t>
  </si>
  <si>
    <t>M065</t>
  </si>
  <si>
    <t>M069</t>
  </si>
  <si>
    <t>M073</t>
  </si>
  <si>
    <t>M077</t>
  </si>
  <si>
    <t>M081</t>
  </si>
  <si>
    <t>M083</t>
  </si>
  <si>
    <t>M087</t>
  </si>
  <si>
    <t>M091</t>
  </si>
  <si>
    <t>M095</t>
  </si>
  <si>
    <t>M099</t>
  </si>
  <si>
    <t>M101</t>
  </si>
  <si>
    <t>M105</t>
  </si>
  <si>
    <t>M107</t>
  </si>
  <si>
    <t>M109</t>
  </si>
  <si>
    <t>M111</t>
  </si>
  <si>
    <t>M113</t>
  </si>
  <si>
    <t>M115</t>
  </si>
  <si>
    <t>M117</t>
  </si>
  <si>
    <t>M119</t>
  </si>
  <si>
    <t>M121</t>
  </si>
  <si>
    <t>M123</t>
  </si>
  <si>
    <t>M125</t>
  </si>
  <si>
    <t>M127</t>
  </si>
  <si>
    <t>M129</t>
  </si>
  <si>
    <t>M131</t>
  </si>
  <si>
    <t>M133</t>
  </si>
  <si>
    <t>M135</t>
  </si>
  <si>
    <t>M137</t>
  </si>
  <si>
    <t>M139</t>
  </si>
  <si>
    <t>M140</t>
  </si>
  <si>
    <t>M141</t>
  </si>
  <si>
    <t>M142</t>
  </si>
  <si>
    <t>M143</t>
  </si>
  <si>
    <t>M151</t>
  </si>
  <si>
    <t>M153</t>
  </si>
  <si>
    <t>M155</t>
  </si>
  <si>
    <t>M158</t>
  </si>
  <si>
    <t>M162</t>
  </si>
  <si>
    <t>M166</t>
  </si>
  <si>
    <t>M168</t>
  </si>
  <si>
    <t>M172</t>
  </si>
  <si>
    <t>M176</t>
  </si>
  <si>
    <t>M188</t>
  </si>
  <si>
    <t>M192</t>
  </si>
  <si>
    <t>M194</t>
  </si>
  <si>
    <t>M218</t>
  </si>
  <si>
    <t>M224</t>
  </si>
  <si>
    <t>M228</t>
  </si>
  <si>
    <t>M230</t>
  </si>
  <si>
    <t>M234</t>
  </si>
  <si>
    <t>M236</t>
  </si>
  <si>
    <t>M240</t>
  </si>
  <si>
    <t>M242</t>
  </si>
  <si>
    <t>M244</t>
  </si>
  <si>
    <t>M246</t>
  </si>
  <si>
    <t>M248</t>
  </si>
  <si>
    <t>M250</t>
  </si>
  <si>
    <t>M254</t>
  </si>
  <si>
    <t>M256</t>
  </si>
  <si>
    <t>M258</t>
  </si>
  <si>
    <t>M260</t>
  </si>
  <si>
    <t>M262</t>
  </si>
  <si>
    <t>M264</t>
  </si>
  <si>
    <t>M266</t>
  </si>
  <si>
    <t>M268</t>
  </si>
  <si>
    <t>M270</t>
  </si>
  <si>
    <t>M272</t>
  </si>
  <si>
    <t>M274</t>
  </si>
  <si>
    <t>M276</t>
  </si>
  <si>
    <t>M278</t>
  </si>
  <si>
    <t>Component</t>
  </si>
  <si>
    <t>Producer #</t>
  </si>
  <si>
    <t xml:space="preserve">AMP050309      </t>
  </si>
  <si>
    <t>Flynn Brothers Brooks Plant @ Shepherdsville</t>
  </si>
  <si>
    <t>LAP101102</t>
  </si>
  <si>
    <t>%AC in Recycle:</t>
  </si>
  <si>
    <t>%Virgin AC in mix:</t>
  </si>
  <si>
    <t>%Recycle AC in mix:</t>
  </si>
  <si>
    <t>Total %AC in mix:</t>
  </si>
  <si>
    <t>Recycle Information</t>
  </si>
  <si>
    <t>RECYCLE PROD. NO.</t>
  </si>
  <si>
    <t>RECYCLE PRODUCER NAME</t>
  </si>
  <si>
    <t>RECYCLE TYPE</t>
  </si>
  <si>
    <t>Cold Feed %</t>
  </si>
  <si>
    <t>Polish-Res. (?)</t>
  </si>
  <si>
    <t>Non-Polish-Res. Agg. %</t>
  </si>
  <si>
    <t>Polish-Res. Agg. %</t>
  </si>
  <si>
    <t>Polish Resistant Aggregate Calculator</t>
  </si>
  <si>
    <t>% Passing #4</t>
  </si>
  <si>
    <t xml:space="preserve"> % Retained #4</t>
  </si>
  <si>
    <t>Comp. % Retained #4</t>
  </si>
  <si>
    <t>Type of Mix:</t>
  </si>
  <si>
    <t>Total +4 Retained Non-Polish Resistant Aggregate %</t>
  </si>
  <si>
    <t>Total +4 Retained Polish Resistant Aggregate %</t>
  </si>
  <si>
    <t>RAP AC%</t>
  </si>
  <si>
    <t>MSG #1</t>
  </si>
  <si>
    <t>MSG #2</t>
  </si>
  <si>
    <t>AVG MSG</t>
  </si>
  <si>
    <t>Virgin Binder in Mix</t>
  </si>
  <si>
    <t>Agg. 1</t>
  </si>
  <si>
    <t>Agg. 2</t>
  </si>
  <si>
    <t>Agg. 3</t>
  </si>
  <si>
    <t>Agg. 4</t>
  </si>
  <si>
    <t>Agg. 5</t>
  </si>
  <si>
    <t>Agg. 6</t>
  </si>
  <si>
    <t>LAP100803</t>
  </si>
  <si>
    <t>Carrollton River Terminal @ Carrollton</t>
  </si>
  <si>
    <t>S &amp; Y Terminal, LLC @ Owensboro</t>
  </si>
  <si>
    <t xml:space="preserve">AMP060308      </t>
  </si>
  <si>
    <t xml:space="preserve">AMP060307      </t>
  </si>
  <si>
    <t>Hinkle Contracting @ Flat Lick</t>
  </si>
  <si>
    <t>Hinkle Contracting @ Lee County Virginia</t>
  </si>
  <si>
    <t>Hinkle Contracting @ Middlesboro</t>
  </si>
  <si>
    <t xml:space="preserve">AMP110305      </t>
  </si>
  <si>
    <t xml:space="preserve">AMP060306      </t>
  </si>
  <si>
    <t>Len Riegler Blacktop @ Florence</t>
  </si>
  <si>
    <t xml:space="preserve">AMP120306      </t>
  </si>
  <si>
    <t>Scottys Contracting @ Fort Knox</t>
  </si>
  <si>
    <t>Coarse RAP</t>
  </si>
  <si>
    <t>Fine RAP</t>
  </si>
  <si>
    <t>Intermediate RAP</t>
  </si>
  <si>
    <t>Natural Rock Asphalt</t>
  </si>
  <si>
    <t>RECYCLE  Calculator</t>
  </si>
  <si>
    <t>TOTAL AC from Recycle</t>
  </si>
  <si>
    <t>Fill in Recycle MSG's and AC % on this sheet and use Backcalculated Gsb as Agg. Gravity for Recycle Component on Design Data sheet.</t>
  </si>
  <si>
    <t>Pennyrile Asphalt @ Hopkinsville</t>
  </si>
  <si>
    <t>Elmo Greer &amp; Sons @ Williamsburg</t>
  </si>
  <si>
    <t>Conoco Phillips @ Wood River, IL</t>
  </si>
  <si>
    <t>LAP101404</t>
  </si>
  <si>
    <t>LAP101402</t>
  </si>
  <si>
    <t>Trumbull Asphalt @ Granite City, IL</t>
  </si>
  <si>
    <t>BINDER SOURCE &amp; LOC.</t>
  </si>
  <si>
    <t>Contractor &amp; Loc. Not In Drop-Down List</t>
  </si>
  <si>
    <t>LAP??????</t>
  </si>
  <si>
    <t>AMP??????</t>
  </si>
  <si>
    <t>00311 CL2 ASPH SURF 0.38B PG76-22</t>
  </si>
  <si>
    <t>M338</t>
  </si>
  <si>
    <t>M339</t>
  </si>
  <si>
    <t>00387 CL3 ASPH SURF 0.38B PG76-22</t>
  </si>
  <si>
    <t>23647ES400 CL2 ASPH SURF 0.5A PG 64-22</t>
  </si>
  <si>
    <t>M340</t>
  </si>
  <si>
    <t>23362ES403 CL2 ASPH SURF 0.5B PG 64-22</t>
  </si>
  <si>
    <t>M341</t>
  </si>
  <si>
    <t>23165ES403 CL3 ASPH SURF 0.5B PG64-22</t>
  </si>
  <si>
    <t>23176ES403 CL4 ASPH SURF 0.5A PG76-22</t>
  </si>
  <si>
    <t>M342</t>
  </si>
  <si>
    <t>M343</t>
  </si>
  <si>
    <t>Type of Mixture to be Placed:</t>
  </si>
  <si>
    <t>0.38 A</t>
  </si>
  <si>
    <t>0.38 B</t>
  </si>
  <si>
    <t>0.50 A</t>
  </si>
  <si>
    <t>0.50 B</t>
  </si>
  <si>
    <t>TYPE OF MIX:</t>
  </si>
  <si>
    <t xml:space="preserve">AMP040309      </t>
  </si>
  <si>
    <t>Scottys Contracting @ Upton ("Rolling Thunder")</t>
  </si>
  <si>
    <t>Scottys Contracting @ Tompkinsville ("Top Gun")</t>
  </si>
  <si>
    <t xml:space="preserve">AMP030309      </t>
  </si>
  <si>
    <t xml:space="preserve">Scottys Contracting @ Scottsville </t>
  </si>
  <si>
    <t>Scottys Contracting @ Glasgow</t>
  </si>
  <si>
    <t>Scottys Contracting @ Horse Cave</t>
  </si>
  <si>
    <t xml:space="preserve">AMP060309      </t>
  </si>
  <si>
    <t>Eaton Asphalt Paving @ Butler</t>
  </si>
  <si>
    <t>Louisville Paving @ Middletown</t>
  </si>
  <si>
    <t>Louisville Paving @ Shepherdsville</t>
  </si>
  <si>
    <t xml:space="preserve">AMP040310      </t>
  </si>
  <si>
    <t>Mago Construction @ Bardstown (Drum)</t>
  </si>
  <si>
    <t xml:space="preserve">AMP120307        </t>
  </si>
  <si>
    <t xml:space="preserve">AMP090106      </t>
  </si>
  <si>
    <t>Mountain Enterprises @ Kenova,WV</t>
  </si>
  <si>
    <t xml:space="preserve">AMP020306      </t>
  </si>
  <si>
    <t>Rogers Group @ Hopkinsville (Drum)</t>
  </si>
  <si>
    <t xml:space="preserve">AMP040106      </t>
  </si>
  <si>
    <t>Scottys Contracting @ Upton</t>
  </si>
  <si>
    <t>The Allen Company @ Garrard County (Lancaster)</t>
  </si>
  <si>
    <t xml:space="preserve">AMP060106      </t>
  </si>
  <si>
    <t>Valley Asphalt Corporation @ Cincinnati, OH</t>
  </si>
  <si>
    <t>(New XML Schema)</t>
  </si>
  <si>
    <t>LAP100302</t>
  </si>
  <si>
    <t>BP @ Calumet</t>
  </si>
  <si>
    <t>Slag #67's Class A</t>
  </si>
  <si>
    <t>Slag #67's Class B</t>
  </si>
  <si>
    <t>Slag #68's Class A</t>
  </si>
  <si>
    <t>Slag #68's Class B</t>
  </si>
  <si>
    <t>Slag #78's Class A</t>
  </si>
  <si>
    <t>Slag #78's Class B</t>
  </si>
  <si>
    <t>Slag #8's Class A</t>
  </si>
  <si>
    <t>Slag #8's Class B</t>
  </si>
  <si>
    <t>Slag #9M's Class A</t>
  </si>
  <si>
    <t>Slag #9M's Class B</t>
  </si>
  <si>
    <t>Slag NSG Class A</t>
  </si>
  <si>
    <t>Slag NSG Class B</t>
  </si>
  <si>
    <t>Slag Sand Class A</t>
  </si>
  <si>
    <t>Slag Sand Class B</t>
  </si>
  <si>
    <t>00334 CL3 ASPH SURF 0.38A PG64-22 (SLAG)</t>
  </si>
  <si>
    <t>00386 CL3 ASPH SURF 0.38B PG64-22(SLAG)</t>
  </si>
  <si>
    <t>00389 CL3 ASPH SURF 0.38D PG76-22</t>
  </si>
  <si>
    <t>23307EC CL3 ASPH SURF NO.4B PG64-22</t>
  </si>
  <si>
    <t>24177ES400 CL2 ASPH BASE 0.75D PG64-22-SLAG</t>
  </si>
  <si>
    <t>M347</t>
  </si>
  <si>
    <t>M348</t>
  </si>
  <si>
    <t>M349</t>
  </si>
  <si>
    <t>M350</t>
  </si>
  <si>
    <t>M351</t>
  </si>
  <si>
    <t>The contribution of Asphalt Binder from the reclaimed materials has exceeded the maximum.</t>
  </si>
  <si>
    <t>Nom. Max</t>
  </si>
  <si>
    <t>Rec. Type</t>
  </si>
  <si>
    <t>RAP</t>
  </si>
  <si>
    <t>RAS</t>
  </si>
  <si>
    <t>Both</t>
  </si>
  <si>
    <t>Eff. Bind</t>
  </si>
  <si>
    <t>&lt;=20</t>
  </si>
  <si>
    <t>Virgin Binder</t>
  </si>
  <si>
    <t>PG 64-22</t>
  </si>
  <si>
    <t>Item Binder</t>
  </si>
  <si>
    <t>PG 76-22</t>
  </si>
  <si>
    <t>&lt;=13</t>
  </si>
  <si>
    <t>0.5,0.38,No. 4</t>
  </si>
  <si>
    <t>14-20</t>
  </si>
  <si>
    <t>&lt;=15</t>
  </si>
  <si>
    <t>16-25</t>
  </si>
  <si>
    <t>1.50,1.00,0.75</t>
  </si>
  <si>
    <t>&lt;=25</t>
  </si>
  <si>
    <t>26-35</t>
  </si>
  <si>
    <t>PG 58-28</t>
  </si>
  <si>
    <t>&lt;=16</t>
  </si>
  <si>
    <t>17-24</t>
  </si>
  <si>
    <t>&lt;=18</t>
  </si>
  <si>
    <t>19-30</t>
  </si>
  <si>
    <t>Design Nom. Max</t>
  </si>
  <si>
    <t>Design Binder</t>
  </si>
  <si>
    <t>Design Eff. AC</t>
  </si>
  <si>
    <t>AC from Recycle</t>
  </si>
  <si>
    <t>Eff. Bind. Content</t>
  </si>
  <si>
    <t>RAP, RAS,Both?</t>
  </si>
  <si>
    <t>Good?</t>
  </si>
  <si>
    <t>May 2012</t>
  </si>
  <si>
    <t>Ver 8.03</t>
  </si>
  <si>
    <t>Range</t>
  </si>
  <si>
    <t>Total</t>
  </si>
  <si>
    <t>Target Eff. AC% in Mix</t>
  </si>
  <si>
    <t>Eff. AC (from charts)</t>
  </si>
  <si>
    <t>b</t>
  </si>
  <si>
    <t>m</t>
  </si>
  <si>
    <t>y</t>
  </si>
  <si>
    <t>% Eff. Replacement</t>
  </si>
  <si>
    <t>00326 CL3 ASPH SURF 0.50B PG76-22</t>
  </si>
  <si>
    <t>M222</t>
  </si>
  <si>
    <t xml:space="preserve">AMP020307      </t>
  </si>
  <si>
    <t>Owensboro Paving @ Owensboro (Drum#2)</t>
  </si>
  <si>
    <t>Hall Contracting @ Brooks</t>
  </si>
  <si>
    <t>Mountain Enterprises @ Olive Hill (Drum)</t>
  </si>
  <si>
    <t xml:space="preserve">AMP090304      </t>
  </si>
  <si>
    <t xml:space="preserve">AMP110304      </t>
  </si>
  <si>
    <t>Hinkle Contracting @ London</t>
  </si>
  <si>
    <t xml:space="preserve">AMP090305      </t>
  </si>
  <si>
    <t>Mac Construction @ Grayson</t>
  </si>
  <si>
    <t>Mac Construction @ Jeffersonville IN</t>
  </si>
  <si>
    <t>Riverside Paving @ Louisville</t>
  </si>
  <si>
    <t xml:space="preserve">AMP020305      </t>
  </si>
  <si>
    <t xml:space="preserve">AMP050202      </t>
  </si>
  <si>
    <t xml:space="preserve">AMP010305      </t>
  </si>
  <si>
    <t>Scottys Contracting @ Fort Knox ("Rocky")</t>
  </si>
  <si>
    <t xml:space="preserve">AMP040304      </t>
  </si>
  <si>
    <t xml:space="preserve">AMP040311      </t>
  </si>
  <si>
    <t xml:space="preserve">AMP050311      </t>
  </si>
  <si>
    <t>The Allen Company @ Danville (Drum)</t>
  </si>
  <si>
    <t xml:space="preserve">AMP070311      </t>
  </si>
  <si>
    <t>IMI Corydon Stone &amp; Asphalt @ Corydon Indiana</t>
  </si>
  <si>
    <t>IMI Sellersburg Stone @ Sellersburg Indiana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</si>
</sst>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
    <numFmt numFmtId="168" formatCode="mmmm\ d\,\ yyyy"/>
    <numFmt numFmtId="169" formatCode=";;;"/>
    <numFmt numFmtId="170" formatCode="m/d/yy;@"/>
    <numFmt numFmtId="171" formatCode="000000"/>
    <numFmt numFmtId="172" formatCode="mm/dd/yy;@"/>
    <numFmt numFmtId="173" formatCode="00000000"/>
    <numFmt numFmtId="174" formatCode="m/d/yy"/>
  </numFmts>
  <fonts count="122">
    <font>
      <sz val="10"/>
      <name val="Arial"/>
      <family val="0"/>
    </font>
    <font>
      <sz val="11"/>
      <color indexed="8"/>
      <name val="Calibri"/>
      <family val="2"/>
    </font>
    <font>
      <b/>
      <sz val="10"/>
      <name val="Arial"/>
      <family val="2"/>
    </font>
    <font>
      <sz val="10"/>
      <name val="MS Sans Serif"/>
      <family val="2"/>
    </font>
    <font>
      <sz val="10"/>
      <name val="Helv"/>
      <family val="0"/>
    </font>
    <font>
      <b/>
      <sz val="8"/>
      <name val="MS Sans Serif"/>
      <family val="2"/>
    </font>
    <font>
      <sz val="8"/>
      <name val="Arial"/>
      <family val="2"/>
    </font>
    <font>
      <b/>
      <u val="single"/>
      <sz val="10"/>
      <name val="Arial"/>
      <family val="2"/>
    </font>
    <font>
      <b/>
      <sz val="11"/>
      <name val="Arial"/>
      <family val="2"/>
    </font>
    <font>
      <b/>
      <u val="single"/>
      <sz val="8"/>
      <name val="Arial"/>
      <family val="2"/>
    </font>
    <font>
      <b/>
      <sz val="8"/>
      <name val="Arial"/>
      <family val="2"/>
    </font>
    <font>
      <vertAlign val="subscript"/>
      <sz val="8"/>
      <name val="Arial"/>
      <family val="2"/>
    </font>
    <font>
      <b/>
      <u val="single"/>
      <sz val="11"/>
      <name val="Arial"/>
      <family val="2"/>
    </font>
    <font>
      <u val="single"/>
      <sz val="8"/>
      <name val="Arial"/>
      <family val="2"/>
    </font>
    <font>
      <b/>
      <vertAlign val="subscript"/>
      <sz val="8"/>
      <name val="Arial"/>
      <family val="2"/>
    </font>
    <font>
      <sz val="8"/>
      <color indexed="8"/>
      <name val="Arial"/>
      <family val="2"/>
    </font>
    <font>
      <vertAlign val="superscript"/>
      <sz val="8"/>
      <name val="Arial"/>
      <family val="2"/>
    </font>
    <font>
      <b/>
      <sz val="10"/>
      <name val="MS Sans Serif"/>
      <family val="2"/>
    </font>
    <font>
      <u val="single"/>
      <sz val="10"/>
      <name val="MS Sans Serif"/>
      <family val="2"/>
    </font>
    <font>
      <b/>
      <u val="single"/>
      <sz val="10"/>
      <name val="MS Sans Serif"/>
      <family val="2"/>
    </font>
    <font>
      <b/>
      <sz val="10"/>
      <color indexed="8"/>
      <name val="Arial"/>
      <family val="2"/>
    </font>
    <font>
      <sz val="8"/>
      <name val="MS Sans Serif"/>
      <family val="2"/>
    </font>
    <font>
      <b/>
      <vertAlign val="subscript"/>
      <sz val="6.8"/>
      <name val="Arial"/>
      <family val="2"/>
    </font>
    <font>
      <vertAlign val="subscript"/>
      <sz val="6.8"/>
      <name val="Arial"/>
      <family val="2"/>
    </font>
    <font>
      <b/>
      <sz val="6.8"/>
      <name val="Arial"/>
      <family val="2"/>
    </font>
    <font>
      <vertAlign val="subscript"/>
      <sz val="8.5"/>
      <name val="MS Sans Serif"/>
      <family val="2"/>
    </font>
    <font>
      <b/>
      <u val="single"/>
      <vertAlign val="subscript"/>
      <sz val="8.5"/>
      <name val="MS Sans Serif"/>
      <family val="2"/>
    </font>
    <font>
      <vertAlign val="superscript"/>
      <sz val="6.8"/>
      <name val="Arial"/>
      <family val="2"/>
    </font>
    <font>
      <sz val="10"/>
      <color indexed="8"/>
      <name val="Arial"/>
      <family val="2"/>
    </font>
    <font>
      <sz val="8"/>
      <color indexed="8"/>
      <name val="MS Sans Serif"/>
      <family val="2"/>
    </font>
    <font>
      <vertAlign val="superscript"/>
      <sz val="7"/>
      <name val="Arial"/>
      <family val="2"/>
    </font>
    <font>
      <b/>
      <vertAlign val="superscript"/>
      <sz val="10"/>
      <name val="Arial"/>
      <family val="2"/>
    </font>
    <font>
      <b/>
      <sz val="10.5"/>
      <color indexed="63"/>
      <name val="Arial"/>
      <family val="2"/>
    </font>
    <font>
      <b/>
      <sz val="7.5"/>
      <color indexed="63"/>
      <name val="Arial"/>
      <family val="2"/>
    </font>
    <font>
      <b/>
      <u val="single"/>
      <sz val="10.5"/>
      <color indexed="8"/>
      <name val="Arial"/>
      <family val="2"/>
    </font>
    <font>
      <b/>
      <sz val="12"/>
      <color indexed="8"/>
      <name val="Arial"/>
      <family val="2"/>
    </font>
    <font>
      <b/>
      <sz val="8"/>
      <color indexed="8"/>
      <name val="Arial"/>
      <family val="2"/>
    </font>
    <font>
      <b/>
      <sz val="12"/>
      <name val="MS Sans Serif"/>
      <family val="2"/>
    </font>
    <font>
      <vertAlign val="subscript"/>
      <sz val="10"/>
      <name val="MS Sans Serif"/>
      <family val="2"/>
    </font>
    <font>
      <vertAlign val="superscript"/>
      <sz val="10"/>
      <name val="MS Sans Serif"/>
      <family val="2"/>
    </font>
    <font>
      <vertAlign val="superscript"/>
      <sz val="8"/>
      <name val="MS Sans Serif"/>
      <family val="2"/>
    </font>
    <font>
      <sz val="6.8"/>
      <name val="Arial"/>
      <family val="2"/>
    </font>
    <font>
      <b/>
      <vertAlign val="subscript"/>
      <sz val="12"/>
      <name val="MS Sans Serif"/>
      <family val="2"/>
    </font>
    <font>
      <b/>
      <sz val="12"/>
      <name val="Arial"/>
      <family val="2"/>
    </font>
    <font>
      <sz val="8"/>
      <name val="Tahoma"/>
      <family val="2"/>
    </font>
    <font>
      <b/>
      <sz val="7"/>
      <color indexed="10"/>
      <name val="Arial"/>
      <family val="2"/>
    </font>
    <font>
      <b/>
      <sz val="10"/>
      <color indexed="10"/>
      <name val="MS Sans Serif"/>
      <family val="2"/>
    </font>
    <font>
      <sz val="10"/>
      <color indexed="10"/>
      <name val="MS Sans Serif"/>
      <family val="2"/>
    </font>
    <font>
      <b/>
      <sz val="10"/>
      <color indexed="10"/>
      <name val="Arial"/>
      <family val="2"/>
    </font>
    <font>
      <b/>
      <sz val="8"/>
      <name val="Tahoma"/>
      <family val="2"/>
    </font>
    <font>
      <vertAlign val="subscript"/>
      <sz val="8"/>
      <name val="MS Sans Serif"/>
      <family val="2"/>
    </font>
    <font>
      <vertAlign val="superscript"/>
      <sz val="7"/>
      <name val="Helv"/>
      <family val="0"/>
    </font>
    <font>
      <sz val="10"/>
      <color indexed="10"/>
      <name val="Arial"/>
      <family val="2"/>
    </font>
    <font>
      <b/>
      <sz val="10"/>
      <color indexed="12"/>
      <name val="Arial"/>
      <family val="2"/>
    </font>
    <font>
      <vertAlign val="subscript"/>
      <sz val="10"/>
      <name val="Arial"/>
      <family val="2"/>
    </font>
    <font>
      <vertAlign val="superscript"/>
      <sz val="10"/>
      <name val="Arial"/>
      <family val="2"/>
    </font>
    <font>
      <b/>
      <sz val="10"/>
      <name val="Helv"/>
      <family val="0"/>
    </font>
    <font>
      <vertAlign val="subscript"/>
      <sz val="7"/>
      <name val="Arial"/>
      <family val="2"/>
    </font>
    <font>
      <b/>
      <i/>
      <sz val="10"/>
      <name val="Arial"/>
      <family val="2"/>
    </font>
    <font>
      <sz val="9"/>
      <name val="Arial"/>
      <family val="2"/>
    </font>
    <font>
      <u val="single"/>
      <sz val="9"/>
      <name val="Arial"/>
      <family val="2"/>
    </font>
    <font>
      <sz val="9"/>
      <color indexed="10"/>
      <name val="Arial"/>
      <family val="2"/>
    </font>
    <font>
      <b/>
      <sz val="9"/>
      <color indexed="10"/>
      <name val="Arial"/>
      <family val="2"/>
    </font>
    <font>
      <b/>
      <sz val="9"/>
      <name val="Arial"/>
      <family val="2"/>
    </font>
    <font>
      <sz val="10"/>
      <color indexed="12"/>
      <name val="Arial"/>
      <family val="2"/>
    </font>
    <font>
      <b/>
      <sz val="10"/>
      <name val="Tahoma"/>
      <family val="2"/>
    </font>
    <font>
      <sz val="10"/>
      <name val="Tahoma"/>
      <family val="2"/>
    </font>
    <font>
      <sz val="9"/>
      <name val="Times New Roman"/>
      <family val="1"/>
    </font>
    <font>
      <b/>
      <sz val="9"/>
      <color indexed="12"/>
      <name val="Arial"/>
      <family val="2"/>
    </font>
    <font>
      <sz val="12"/>
      <name val="Tahoma"/>
      <family val="2"/>
    </font>
    <font>
      <sz val="10"/>
      <color indexed="43"/>
      <name val="Arial"/>
      <family val="2"/>
    </font>
    <font>
      <b/>
      <u val="single"/>
      <sz val="8"/>
      <name val="MS Sans Serif"/>
      <family val="2"/>
    </font>
    <font>
      <u val="single"/>
      <sz val="8"/>
      <name val="MS Sans Serif"/>
      <family val="2"/>
    </font>
    <font>
      <sz val="10"/>
      <name val="Symbol"/>
      <family val="1"/>
    </font>
    <font>
      <b/>
      <u val="single"/>
      <sz val="8"/>
      <color indexed="10"/>
      <name val="Arial"/>
      <family val="2"/>
    </font>
    <font>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sz val="6"/>
      <color indexed="8"/>
      <name val="MS Sans Serif"/>
      <family val="2"/>
    </font>
    <font>
      <b/>
      <sz val="8"/>
      <color indexed="8"/>
      <name val="MS Sans Serif"/>
      <family val="2"/>
    </font>
    <font>
      <b/>
      <vertAlign val="subscript"/>
      <sz val="8"/>
      <color indexed="8"/>
      <name val="MS Sans Serif"/>
      <family val="2"/>
    </font>
    <font>
      <b/>
      <sz val="10"/>
      <color indexed="8"/>
      <name val="MS Sans Serif"/>
      <family val="2"/>
    </font>
    <font>
      <b/>
      <vertAlign val="subscript"/>
      <sz val="10"/>
      <color indexed="8"/>
      <name val="MS Sans Serif"/>
      <family val="2"/>
    </font>
    <font>
      <b/>
      <vertAlign val="superscript"/>
      <sz val="8"/>
      <color indexed="8"/>
      <name val="MS Sans Serif"/>
      <family val="2"/>
    </font>
    <font>
      <sz val="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8"/>
      <color rgb="FFFF0000"/>
      <name val="Arial"/>
      <family val="2"/>
    </font>
    <font>
      <sz val="10"/>
      <color rgb="FFFF0000"/>
      <name val="Arial"/>
      <family val="2"/>
    </font>
    <font>
      <sz val="8"/>
      <color rgb="FFFF0000"/>
      <name val="Arial"/>
      <family val="2"/>
    </font>
    <font>
      <sz val="10"/>
      <color rgb="FFFF0000"/>
      <name val="MS Sans Serif"/>
      <family val="2"/>
    </font>
    <font>
      <b/>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48"/>
        <bgColor indexed="64"/>
      </patternFill>
    </fill>
    <fill>
      <patternFill patternType="solid">
        <fgColor indexed="14"/>
        <bgColor indexed="64"/>
      </patternFill>
    </fill>
    <fill>
      <patternFill patternType="solid">
        <fgColor indexed="53"/>
        <bgColor indexed="64"/>
      </patternFill>
    </fill>
    <fill>
      <patternFill patternType="solid">
        <fgColor indexed="46"/>
        <bgColor indexed="64"/>
      </patternFill>
    </fill>
    <fill>
      <patternFill patternType="solid">
        <fgColor indexed="42"/>
        <bgColor indexed="64"/>
      </patternFill>
    </fill>
    <fill>
      <patternFill patternType="solid">
        <fgColor indexed="42"/>
        <bgColor indexed="64"/>
      </patternFill>
    </fill>
    <fill>
      <patternFill patternType="solid">
        <fgColor rgb="FFFFFF00"/>
        <bgColor indexed="64"/>
      </patternFill>
    </fill>
    <fill>
      <patternFill patternType="lightUp">
        <bgColor indexed="43"/>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style="thin"/>
      <bottom style="double"/>
    </border>
    <border>
      <left/>
      <right style="thin"/>
      <top/>
      <bottom style="double"/>
    </border>
    <border>
      <left/>
      <right style="thin"/>
      <top style="double"/>
      <bottom/>
    </border>
    <border>
      <left/>
      <right style="thin"/>
      <top style="double"/>
      <bottom style="thin"/>
    </border>
    <border>
      <left style="double"/>
      <right style="thin"/>
      <top style="double"/>
      <bottom/>
    </border>
    <border>
      <left style="double"/>
      <right style="thin"/>
      <top/>
      <bottom style="double"/>
    </border>
    <border>
      <left style="double"/>
      <right style="thin"/>
      <top style="thin"/>
      <bottom style="double"/>
    </border>
    <border>
      <left/>
      <right style="double"/>
      <top style="double"/>
      <bottom/>
    </border>
    <border>
      <left/>
      <right style="double"/>
      <top/>
      <bottom style="double"/>
    </border>
    <border>
      <left/>
      <right/>
      <top style="double"/>
      <bottom style="thin"/>
    </border>
    <border>
      <left/>
      <right/>
      <top style="double"/>
      <bottom/>
    </border>
    <border>
      <left style="double"/>
      <right/>
      <top/>
      <bottom/>
    </border>
    <border>
      <left/>
      <right/>
      <top/>
      <bottom style="double"/>
    </border>
    <border>
      <left style="double"/>
      <right/>
      <top/>
      <bottom style="thin"/>
    </border>
    <border>
      <left style="thin"/>
      <right/>
      <top style="double"/>
      <bottom style="double"/>
    </border>
    <border>
      <left style="thin"/>
      <right style="thin"/>
      <top style="double"/>
      <bottom style="double"/>
    </border>
    <border>
      <left/>
      <right style="double"/>
      <top style="double"/>
      <bottom style="double"/>
    </border>
    <border>
      <left style="double"/>
      <right/>
      <top/>
      <bottom style="double"/>
    </border>
    <border>
      <left style="double"/>
      <right/>
      <top style="double"/>
      <bottom/>
    </border>
    <border>
      <left/>
      <right style="double"/>
      <top/>
      <bottom/>
    </border>
    <border>
      <left style="double"/>
      <right/>
      <top style="double"/>
      <bottom style="double"/>
    </border>
    <border>
      <left/>
      <right style="thin"/>
      <top style="double"/>
      <bottom style="double"/>
    </border>
    <border>
      <left/>
      <right/>
      <top style="double"/>
      <bottom style="double"/>
    </border>
    <border>
      <left style="thin"/>
      <right style="thin"/>
      <top style="thin"/>
      <bottom style="thin"/>
    </border>
    <border>
      <left/>
      <right/>
      <top/>
      <bottom style="thin"/>
    </border>
    <border>
      <left style="double"/>
      <right style="thin"/>
      <top/>
      <bottom style="thin"/>
    </border>
    <border>
      <left/>
      <right style="double"/>
      <top/>
      <bottom style="thin"/>
    </border>
    <border>
      <left style="double"/>
      <right style="thin"/>
      <top style="double"/>
      <bottom style="thin"/>
    </border>
    <border>
      <left style="double"/>
      <right style="thin"/>
      <top style="thin"/>
      <bottom/>
    </border>
    <border>
      <left style="double"/>
      <right style="thin"/>
      <top style="double"/>
      <bottom style="double"/>
    </border>
    <border>
      <left style="thin"/>
      <right style="double"/>
      <top style="double"/>
      <bottom style="thin"/>
    </border>
    <border>
      <left style="thin"/>
      <right style="double"/>
      <top/>
      <bottom style="thin"/>
    </border>
    <border>
      <left style="double"/>
      <right/>
      <top style="double"/>
      <bottom style="thin"/>
    </border>
    <border>
      <left/>
      <right style="double"/>
      <top style="double"/>
      <bottom style="thin"/>
    </border>
    <border>
      <left style="double"/>
      <right/>
      <top style="thin"/>
      <bottom style="thin"/>
    </border>
    <border>
      <left style="double"/>
      <right style="thin"/>
      <top style="thin"/>
      <bottom style="thin"/>
    </border>
    <border>
      <left style="thin"/>
      <right style="thin"/>
      <top/>
      <bottom style="double"/>
    </border>
    <border>
      <left style="medium"/>
      <right style="medium"/>
      <top style="double"/>
      <bottom style="double"/>
    </border>
    <border>
      <left style="medium"/>
      <right style="medium"/>
      <top style="thin"/>
      <bottom style="thin"/>
    </border>
    <border>
      <left style="medium"/>
      <right style="medium"/>
      <top/>
      <bottom style="thin"/>
    </border>
    <border>
      <left style="thin"/>
      <right style="double"/>
      <top/>
      <bottom style="double"/>
    </border>
    <border>
      <left style="thin"/>
      <right style="double"/>
      <top style="double"/>
      <bottom/>
    </border>
    <border>
      <left style="thin"/>
      <right style="double"/>
      <top/>
      <bottom/>
    </border>
    <border>
      <left style="thin"/>
      <right style="thin"/>
      <top style="double"/>
      <bottom/>
    </border>
    <border>
      <left style="double"/>
      <right style="double"/>
      <top style="double"/>
      <bottom style="thin"/>
    </border>
    <border>
      <left/>
      <right/>
      <top style="thin"/>
      <bottom style="thin"/>
    </border>
    <border>
      <left style="double"/>
      <right style="double"/>
      <top style="double"/>
      <bottom style="double"/>
    </border>
    <border>
      <left style="double"/>
      <right style="double"/>
      <top/>
      <bottom style="thin"/>
    </border>
    <border>
      <left style="double"/>
      <right style="double"/>
      <top style="thin"/>
      <bottom/>
    </border>
    <border>
      <left/>
      <right style="thin"/>
      <top style="thin"/>
      <bottom/>
    </border>
    <border>
      <left/>
      <right style="double"/>
      <top style="thin"/>
      <bottom/>
    </border>
    <border>
      <left/>
      <right style="thin"/>
      <top style="thin"/>
      <bottom style="double"/>
    </border>
    <border>
      <left/>
      <right style="double"/>
      <top style="thin"/>
      <bottom style="double"/>
    </border>
    <border>
      <left style="double"/>
      <right style="double"/>
      <top style="thin"/>
      <bottom style="double"/>
    </border>
    <border>
      <left style="thick"/>
      <right style="thin"/>
      <top style="thin"/>
      <bottom style="double"/>
    </border>
    <border>
      <left/>
      <right style="thick"/>
      <top style="thin"/>
      <bottom style="double"/>
    </border>
    <border>
      <left style="double"/>
      <right style="double"/>
      <top style="thin"/>
      <bottom style="thin"/>
    </border>
    <border>
      <left style="thin"/>
      <right style="double"/>
      <top style="double"/>
      <bottom style="double"/>
    </border>
    <border>
      <left style="double"/>
      <right/>
      <top style="double"/>
      <bottom style="medium"/>
    </border>
    <border>
      <left/>
      <right/>
      <top style="double"/>
      <bottom style="medium"/>
    </border>
    <border>
      <left/>
      <right style="double"/>
      <top style="double"/>
      <bottom style="medium"/>
    </border>
    <border>
      <left/>
      <right style="medium"/>
      <top/>
      <bottom style="thin"/>
    </border>
    <border>
      <left style="thin"/>
      <right style="thin"/>
      <top/>
      <bottom style="thin"/>
    </border>
    <border>
      <left style="thin"/>
      <right/>
      <top style="double"/>
      <bottom style="thin"/>
    </border>
    <border>
      <left style="thin"/>
      <right/>
      <top/>
      <bottom style="thin"/>
    </border>
    <border>
      <left style="thin"/>
      <right style="double"/>
      <top style="thin"/>
      <bottom style="thin"/>
    </border>
    <border>
      <left/>
      <right style="double"/>
      <top style="thin"/>
      <bottom style="thin"/>
    </border>
    <border>
      <left/>
      <right style="thin"/>
      <top style="thin"/>
      <bottom style="thin"/>
    </border>
    <border>
      <left style="double"/>
      <right style="double"/>
      <top/>
      <bottom style="double"/>
    </border>
    <border>
      <left style="thin"/>
      <right style="thin"/>
      <top style="thin"/>
      <bottom/>
    </border>
    <border>
      <left style="thin"/>
      <right style="thin"/>
      <top style="double"/>
      <bottom style="thin"/>
    </border>
    <border>
      <left style="medium"/>
      <right/>
      <top style="thin"/>
      <bottom style="double"/>
    </border>
    <border>
      <left/>
      <right/>
      <top style="thin"/>
      <bottom style="double"/>
    </border>
    <border>
      <left style="thin"/>
      <right style="double"/>
      <top style="thin"/>
      <bottom style="double"/>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thin"/>
      <right style="thin"/>
      <top style="medium"/>
      <bottom style="medium"/>
    </border>
    <border>
      <left style="thin"/>
      <right/>
      <top style="thin"/>
      <bottom style="thin"/>
    </border>
    <border>
      <left style="medium"/>
      <right style="thin"/>
      <top style="medium"/>
      <bottom style="medium"/>
    </border>
    <border>
      <left style="thin"/>
      <right style="medium"/>
      <top style="medium"/>
      <bottom style="medium"/>
    </border>
    <border>
      <left style="medium"/>
      <right/>
      <top style="medium"/>
      <bottom style="medium"/>
    </border>
    <border>
      <left style="thin"/>
      <right style="thin"/>
      <top/>
      <bottom/>
    </border>
    <border>
      <left style="thin">
        <color indexed="8"/>
      </left>
      <right style="thin">
        <color indexed="8"/>
      </right>
      <top style="thin">
        <color indexed="8"/>
      </top>
      <bottom style="thin">
        <color indexed="8"/>
      </bottom>
    </border>
    <border>
      <left style="thin"/>
      <right/>
      <top style="thin"/>
      <bottom style="double"/>
    </border>
    <border>
      <left style="thin"/>
      <right style="thin"/>
      <top style="medium"/>
      <bottom/>
    </border>
    <border>
      <left/>
      <right style="thin"/>
      <top style="medium"/>
      <bottom/>
    </border>
    <border>
      <left style="thin"/>
      <right/>
      <top style="medium"/>
      <bottom/>
    </border>
    <border>
      <left style="thin"/>
      <right/>
      <top style="thin"/>
      <bottom/>
    </border>
    <border>
      <left/>
      <right style="thin"/>
      <top/>
      <bottom style="medium"/>
    </border>
    <border>
      <left style="thin"/>
      <right style="thin"/>
      <top/>
      <bottom style="medium"/>
    </border>
    <border>
      <left style="thin"/>
      <right/>
      <top/>
      <bottom style="medium"/>
    </border>
    <border>
      <left style="medium"/>
      <right style="thin"/>
      <top/>
      <bottom style="medium"/>
    </border>
    <border>
      <left style="thin"/>
      <right style="medium"/>
      <top/>
      <bottom style="medium"/>
    </border>
    <border>
      <left style="double"/>
      <right/>
      <top style="medium"/>
      <bottom style="double"/>
    </border>
    <border>
      <left/>
      <right/>
      <top style="medium"/>
      <bottom style="double"/>
    </border>
    <border>
      <left/>
      <right style="double"/>
      <top style="medium"/>
      <bottom style="double"/>
    </border>
    <border>
      <left style="double"/>
      <right/>
      <top style="thin"/>
      <bottom/>
    </border>
    <border>
      <left/>
      <right/>
      <top style="thin"/>
      <bottom/>
    </border>
    <border>
      <left style="double"/>
      <right/>
      <top style="thin"/>
      <bottom style="double"/>
    </border>
    <border>
      <left style="medium"/>
      <right/>
      <top style="thin"/>
      <bottom style="thin"/>
    </border>
    <border>
      <left style="thin"/>
      <right/>
      <top/>
      <bottom style="double"/>
    </border>
    <border>
      <left/>
      <right style="medium"/>
      <top style="thin"/>
      <bottom style="thin"/>
    </border>
    <border>
      <left style="medium"/>
      <right/>
      <top style="double"/>
      <bottom style="thin"/>
    </border>
    <border>
      <left/>
      <right style="medium"/>
      <top style="double"/>
      <bottom style="thin"/>
    </border>
    <border>
      <left style="medium"/>
      <right/>
      <top style="double"/>
      <bottom style="double"/>
    </border>
    <border>
      <left/>
      <right style="medium"/>
      <top style="thin"/>
      <bottom style="double"/>
    </border>
    <border>
      <left style="thin"/>
      <right/>
      <top style="medium"/>
      <bottom style="medium"/>
    </border>
    <border>
      <left/>
      <right/>
      <top style="medium"/>
      <bottom style="medium"/>
    </border>
    <border>
      <left/>
      <right style="medium"/>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29" borderId="0" applyNumberFormat="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1817">
    <xf numFmtId="0" fontId="0" fillId="0" borderId="0" xfId="0" applyAlignment="1">
      <alignment/>
    </xf>
    <xf numFmtId="0" fontId="0" fillId="0" borderId="0" xfId="62" applyFont="1" applyFill="1" applyAlignment="1" applyProtection="1">
      <alignment/>
      <protection/>
    </xf>
    <xf numFmtId="0" fontId="2" fillId="0" borderId="0" xfId="62" applyFont="1" applyFill="1" applyProtection="1">
      <alignment/>
      <protection/>
    </xf>
    <xf numFmtId="0" fontId="0" fillId="0" borderId="0" xfId="62" applyFont="1">
      <alignment/>
      <protection/>
    </xf>
    <xf numFmtId="0" fontId="0" fillId="0" borderId="0" xfId="62" applyFont="1" applyAlignment="1" applyProtection="1">
      <alignment horizontal="centerContinuous"/>
      <protection/>
    </xf>
    <xf numFmtId="0" fontId="0" fillId="0" borderId="0" xfId="62" applyFont="1" applyAlignment="1">
      <alignment horizontal="centerContinuous"/>
      <protection/>
    </xf>
    <xf numFmtId="0" fontId="0" fillId="0" borderId="0" xfId="62" applyFont="1" applyProtection="1">
      <alignment/>
      <protection/>
    </xf>
    <xf numFmtId="0" fontId="8" fillId="0" borderId="0" xfId="62" applyFont="1" applyAlignment="1" applyProtection="1">
      <alignment horizontal="center"/>
      <protection/>
    </xf>
    <xf numFmtId="0" fontId="0" fillId="0" borderId="0" xfId="62" applyFont="1" applyAlignment="1" applyProtection="1">
      <alignment horizontal="center"/>
      <protection/>
    </xf>
    <xf numFmtId="0" fontId="0" fillId="0" borderId="0" xfId="0" applyFont="1" applyAlignment="1">
      <alignment/>
    </xf>
    <xf numFmtId="0" fontId="9" fillId="0" borderId="0" xfId="62" applyFont="1" applyProtection="1">
      <alignment/>
      <protection/>
    </xf>
    <xf numFmtId="0" fontId="6" fillId="0" borderId="0" xfId="62" applyFont="1" applyProtection="1">
      <alignment/>
      <protection/>
    </xf>
    <xf numFmtId="0" fontId="9" fillId="0" borderId="0" xfId="62" applyFont="1" applyAlignment="1" applyProtection="1">
      <alignment/>
      <protection/>
    </xf>
    <xf numFmtId="0" fontId="9" fillId="0" borderId="0" xfId="62" applyFont="1" applyFill="1" applyProtection="1">
      <alignment/>
      <protection/>
    </xf>
    <xf numFmtId="0" fontId="6" fillId="0" borderId="0" xfId="62" applyFont="1" applyFill="1" applyProtection="1">
      <alignment/>
      <protection/>
    </xf>
    <xf numFmtId="0" fontId="10" fillId="0" borderId="0" xfId="62" applyFont="1" applyAlignment="1" applyProtection="1">
      <alignment horizontal="centerContinuous"/>
      <protection/>
    </xf>
    <xf numFmtId="0" fontId="6" fillId="0" borderId="0" xfId="62" applyFont="1" applyAlignment="1" applyProtection="1">
      <alignment horizontal="left"/>
      <protection/>
    </xf>
    <xf numFmtId="0" fontId="6" fillId="0" borderId="0" xfId="62" applyFont="1" applyAlignment="1" applyProtection="1">
      <alignment horizontal="center"/>
      <protection/>
    </xf>
    <xf numFmtId="164" fontId="6" fillId="0" borderId="10" xfId="62" applyNumberFormat="1" applyFont="1" applyBorder="1" applyAlignment="1" applyProtection="1">
      <alignment horizontal="center"/>
      <protection/>
    </xf>
    <xf numFmtId="0" fontId="6" fillId="0" borderId="10" xfId="62" applyFont="1" applyFill="1" applyBorder="1" applyAlignment="1" applyProtection="1">
      <alignment horizontal="center"/>
      <protection/>
    </xf>
    <xf numFmtId="167" fontId="6" fillId="0" borderId="10" xfId="62" applyNumberFormat="1" applyFont="1" applyBorder="1" applyAlignment="1" applyProtection="1">
      <alignment horizontal="center"/>
      <protection/>
    </xf>
    <xf numFmtId="165" fontId="6" fillId="0" borderId="10" xfId="62" applyNumberFormat="1" applyFont="1" applyBorder="1" applyAlignment="1" applyProtection="1">
      <alignment horizontal="center"/>
      <protection/>
    </xf>
    <xf numFmtId="0" fontId="0" fillId="0" borderId="10" xfId="62" applyFont="1" applyBorder="1" applyProtection="1">
      <alignment/>
      <protection/>
    </xf>
    <xf numFmtId="164" fontId="6" fillId="0" borderId="10" xfId="62" applyNumberFormat="1" applyFont="1" applyFill="1" applyBorder="1" applyAlignment="1" applyProtection="1">
      <alignment horizontal="center"/>
      <protection/>
    </xf>
    <xf numFmtId="0" fontId="0" fillId="0" borderId="11" xfId="62" applyFont="1" applyBorder="1">
      <alignment/>
      <protection/>
    </xf>
    <xf numFmtId="167" fontId="6" fillId="0" borderId="12" xfId="62" applyNumberFormat="1" applyFont="1" applyFill="1" applyBorder="1" applyAlignment="1" applyProtection="1">
      <alignment horizontal="center"/>
      <protection/>
    </xf>
    <xf numFmtId="166" fontId="6" fillId="0" borderId="12" xfId="62" applyNumberFormat="1" applyFont="1" applyFill="1" applyBorder="1" applyAlignment="1" applyProtection="1">
      <alignment horizontal="center"/>
      <protection/>
    </xf>
    <xf numFmtId="167" fontId="6" fillId="0" borderId="12" xfId="62" applyNumberFormat="1" applyFont="1" applyBorder="1" applyAlignment="1" applyProtection="1">
      <alignment horizontal="center"/>
      <protection/>
    </xf>
    <xf numFmtId="165" fontId="6" fillId="0" borderId="12" xfId="62" applyNumberFormat="1" applyFont="1" applyBorder="1" applyAlignment="1" applyProtection="1">
      <alignment horizontal="center"/>
      <protection/>
    </xf>
    <xf numFmtId="164" fontId="6" fillId="0" borderId="12" xfId="62" applyNumberFormat="1" applyFont="1" applyBorder="1" applyAlignment="1" applyProtection="1">
      <alignment horizontal="center"/>
      <protection/>
    </xf>
    <xf numFmtId="2" fontId="6" fillId="0" borderId="12" xfId="62" applyNumberFormat="1" applyFont="1" applyBorder="1" applyAlignment="1" applyProtection="1">
      <alignment horizontal="center"/>
      <protection/>
    </xf>
    <xf numFmtId="0" fontId="6" fillId="0" borderId="12" xfId="62" applyFont="1" applyBorder="1" applyAlignment="1" applyProtection="1">
      <alignment horizontal="center"/>
      <protection/>
    </xf>
    <xf numFmtId="166" fontId="6" fillId="0" borderId="11" xfId="62" applyNumberFormat="1" applyFont="1" applyFill="1" applyBorder="1" applyAlignment="1" applyProtection="1">
      <alignment horizontal="center"/>
      <protection/>
    </xf>
    <xf numFmtId="0" fontId="6" fillId="0" borderId="12" xfId="62" applyFont="1" applyFill="1" applyBorder="1" applyAlignment="1" applyProtection="1">
      <alignment horizontal="center"/>
      <protection/>
    </xf>
    <xf numFmtId="0" fontId="6" fillId="0" borderId="13" xfId="62" applyFont="1" applyBorder="1" applyAlignment="1" applyProtection="1">
      <alignment horizontal="center"/>
      <protection/>
    </xf>
    <xf numFmtId="0" fontId="6" fillId="0" borderId="14" xfId="62" applyFont="1" applyBorder="1" applyAlignment="1" applyProtection="1">
      <alignment horizontal="center"/>
      <protection/>
    </xf>
    <xf numFmtId="164" fontId="6" fillId="0" borderId="13" xfId="62" applyNumberFormat="1" applyFont="1" applyBorder="1" applyAlignment="1" applyProtection="1">
      <alignment horizontal="center"/>
      <protection/>
    </xf>
    <xf numFmtId="0" fontId="6" fillId="0" borderId="15" xfId="62" applyFont="1" applyBorder="1" applyAlignment="1" applyProtection="1">
      <alignment horizontal="center"/>
      <protection/>
    </xf>
    <xf numFmtId="0" fontId="6" fillId="0" borderId="16" xfId="62" applyFont="1" applyBorder="1" applyAlignment="1" applyProtection="1">
      <alignment horizontal="center"/>
      <protection/>
    </xf>
    <xf numFmtId="0" fontId="6" fillId="0" borderId="17" xfId="62" applyFont="1" applyFill="1" applyBorder="1" applyAlignment="1" applyProtection="1">
      <alignment horizontal="center"/>
      <protection/>
    </xf>
    <xf numFmtId="0" fontId="6" fillId="0" borderId="18" xfId="62" applyFont="1" applyBorder="1" applyAlignment="1" applyProtection="1">
      <alignment horizontal="center"/>
      <protection/>
    </xf>
    <xf numFmtId="0" fontId="6" fillId="0" borderId="19" xfId="62" applyFont="1" applyBorder="1" applyAlignment="1" applyProtection="1">
      <alignment horizontal="center"/>
      <protection/>
    </xf>
    <xf numFmtId="0" fontId="6" fillId="0" borderId="20" xfId="62" applyFont="1" applyBorder="1" applyProtection="1">
      <alignment/>
      <protection/>
    </xf>
    <xf numFmtId="0" fontId="6" fillId="0" borderId="0" xfId="0" applyFont="1" applyAlignment="1">
      <alignment/>
    </xf>
    <xf numFmtId="0" fontId="0" fillId="33" borderId="21" xfId="62" applyFont="1" applyFill="1" applyBorder="1" applyAlignment="1" applyProtection="1">
      <alignment/>
      <protection/>
    </xf>
    <xf numFmtId="0" fontId="7" fillId="33" borderId="21" xfId="62" applyFont="1" applyFill="1" applyBorder="1" applyAlignment="1" applyProtection="1">
      <alignment/>
      <protection/>
    </xf>
    <xf numFmtId="0" fontId="2" fillId="33" borderId="21" xfId="62" applyFont="1" applyFill="1" applyBorder="1" applyAlignment="1" applyProtection="1">
      <alignment/>
      <protection/>
    </xf>
    <xf numFmtId="0" fontId="8" fillId="33" borderId="22" xfId="62" applyFont="1" applyFill="1" applyBorder="1" applyAlignment="1" applyProtection="1">
      <alignment horizontal="centerContinuous"/>
      <protection/>
    </xf>
    <xf numFmtId="0" fontId="0" fillId="33" borderId="0" xfId="62" applyFont="1" applyFill="1" applyBorder="1" applyAlignment="1" applyProtection="1">
      <alignment horizontal="centerContinuous"/>
      <protection/>
    </xf>
    <xf numFmtId="0" fontId="0" fillId="33" borderId="23" xfId="62" applyFont="1" applyFill="1" applyBorder="1" applyAlignment="1" applyProtection="1">
      <alignment horizontal="centerContinuous"/>
      <protection/>
    </xf>
    <xf numFmtId="0" fontId="8" fillId="33" borderId="23" xfId="62" applyFont="1" applyFill="1" applyBorder="1" applyAlignment="1" applyProtection="1">
      <alignment horizontal="centerContinuous"/>
      <protection/>
    </xf>
    <xf numFmtId="0" fontId="6" fillId="0" borderId="20" xfId="62" applyFont="1" applyBorder="1" applyAlignment="1" applyProtection="1">
      <alignment horizontal="center"/>
      <protection/>
    </xf>
    <xf numFmtId="0" fontId="7" fillId="0" borderId="0" xfId="62" applyFont="1" applyAlignment="1" applyProtection="1">
      <alignment horizontal="centerContinuous"/>
      <protection/>
    </xf>
    <xf numFmtId="0" fontId="0" fillId="0" borderId="0" xfId="0" applyFont="1" applyAlignment="1">
      <alignment/>
    </xf>
    <xf numFmtId="0" fontId="0" fillId="0" borderId="0" xfId="0" applyFont="1" applyBorder="1" applyAlignment="1">
      <alignment horizontal="centerContinuous"/>
    </xf>
    <xf numFmtId="0" fontId="0" fillId="0" borderId="0" xfId="0" applyBorder="1" applyAlignment="1">
      <alignment horizontal="centerContinuous"/>
    </xf>
    <xf numFmtId="0" fontId="0" fillId="0" borderId="0" xfId="62" applyFont="1" applyBorder="1" applyProtection="1">
      <alignment/>
      <protection/>
    </xf>
    <xf numFmtId="0" fontId="9" fillId="0" borderId="0" xfId="62" applyFont="1" applyBorder="1" applyAlignment="1" applyProtection="1">
      <alignment horizontal="centerContinuous"/>
      <protection/>
    </xf>
    <xf numFmtId="0" fontId="6" fillId="0" borderId="0" xfId="62" applyFont="1" applyBorder="1" applyProtection="1">
      <alignment/>
      <protection/>
    </xf>
    <xf numFmtId="0" fontId="6" fillId="0" borderId="0" xfId="62" applyFont="1" applyBorder="1" applyAlignment="1" applyProtection="1">
      <alignment/>
      <protection/>
    </xf>
    <xf numFmtId="0" fontId="9" fillId="0" borderId="0" xfId="62" applyFont="1" applyBorder="1" applyProtection="1">
      <alignment/>
      <protection/>
    </xf>
    <xf numFmtId="0" fontId="9" fillId="0" borderId="0" xfId="62" applyFont="1" applyBorder="1" applyAlignment="1" applyProtection="1">
      <alignment/>
      <protection/>
    </xf>
    <xf numFmtId="0" fontId="6" fillId="0" borderId="0" xfId="0" applyFont="1" applyFill="1" applyAlignment="1">
      <alignment/>
    </xf>
    <xf numFmtId="0" fontId="10" fillId="0" borderId="0" xfId="62" applyFont="1" applyAlignment="1" applyProtection="1">
      <alignment horizontal="center"/>
      <protection/>
    </xf>
    <xf numFmtId="0" fontId="10" fillId="0" borderId="0" xfId="62" applyFont="1" applyBorder="1" applyAlignment="1" applyProtection="1">
      <alignment/>
      <protection/>
    </xf>
    <xf numFmtId="0" fontId="0" fillId="0" borderId="0" xfId="0" applyFont="1" applyFill="1" applyBorder="1" applyAlignment="1">
      <alignment horizontal="centerContinuous"/>
    </xf>
    <xf numFmtId="164" fontId="6" fillId="0" borderId="24" xfId="62" applyNumberFormat="1" applyFont="1" applyBorder="1" applyAlignment="1" applyProtection="1">
      <alignment horizontal="center"/>
      <protection/>
    </xf>
    <xf numFmtId="165" fontId="6" fillId="0" borderId="24" xfId="62" applyNumberFormat="1" applyFont="1" applyBorder="1" applyAlignment="1" applyProtection="1">
      <alignment horizontal="center"/>
      <protection/>
    </xf>
    <xf numFmtId="0" fontId="10" fillId="0" borderId="25" xfId="62" applyFont="1" applyBorder="1" applyAlignment="1" applyProtection="1">
      <alignment horizontal="centerContinuous"/>
      <protection/>
    </xf>
    <xf numFmtId="0" fontId="10" fillId="0" borderId="26" xfId="62" applyFont="1" applyBorder="1" applyAlignment="1" applyProtection="1">
      <alignment horizontal="center"/>
      <protection/>
    </xf>
    <xf numFmtId="0" fontId="10" fillId="0" borderId="27" xfId="62" applyFont="1" applyBorder="1" applyAlignment="1" applyProtection="1">
      <alignment horizontal="center"/>
      <protection/>
    </xf>
    <xf numFmtId="2" fontId="6" fillId="0" borderId="24" xfId="62" applyNumberFormat="1" applyFont="1" applyBorder="1" applyAlignment="1" applyProtection="1">
      <alignment horizontal="center"/>
      <protection/>
    </xf>
    <xf numFmtId="165" fontId="6" fillId="0" borderId="28" xfId="62" applyNumberFormat="1" applyFont="1" applyBorder="1" applyAlignment="1" applyProtection="1">
      <alignment horizontal="center"/>
      <protection/>
    </xf>
    <xf numFmtId="0" fontId="0" fillId="0" borderId="0" xfId="0" applyFont="1" applyAlignment="1" applyProtection="1">
      <alignment/>
      <protection/>
    </xf>
    <xf numFmtId="0" fontId="0" fillId="33" borderId="29" xfId="0" applyFont="1" applyFill="1" applyBorder="1" applyAlignment="1" applyProtection="1">
      <alignment/>
      <protection/>
    </xf>
    <xf numFmtId="0" fontId="0" fillId="33" borderId="21" xfId="0" applyFont="1" applyFill="1" applyBorder="1" applyAlignment="1" applyProtection="1">
      <alignment/>
      <protection/>
    </xf>
    <xf numFmtId="0" fontId="0" fillId="33" borderId="0" xfId="0" applyFont="1" applyFill="1" applyBorder="1" applyAlignment="1" applyProtection="1">
      <alignment horizontal="centerContinuous"/>
      <protection/>
    </xf>
    <xf numFmtId="0" fontId="0" fillId="33" borderId="28" xfId="0" applyFont="1" applyFill="1" applyBorder="1" applyAlignment="1" applyProtection="1">
      <alignment/>
      <protection/>
    </xf>
    <xf numFmtId="0" fontId="0" fillId="33" borderId="23" xfId="0" applyFont="1" applyFill="1" applyBorder="1" applyAlignment="1" applyProtection="1">
      <alignment horizontal="centerContinuous"/>
      <protection/>
    </xf>
    <xf numFmtId="0" fontId="0" fillId="0" borderId="0" xfId="0" applyAlignment="1" applyProtection="1">
      <alignment/>
      <protection/>
    </xf>
    <xf numFmtId="0" fontId="7" fillId="0" borderId="0" xfId="0" applyFont="1" applyAlignment="1" applyProtection="1">
      <alignment/>
      <protection/>
    </xf>
    <xf numFmtId="0" fontId="9" fillId="0" borderId="0" xfId="0" applyFont="1" applyAlignment="1" applyProtection="1">
      <alignment/>
      <protection/>
    </xf>
    <xf numFmtId="0" fontId="6" fillId="0" borderId="0" xfId="0" applyFont="1" applyAlignment="1" applyProtection="1">
      <alignment/>
      <protection/>
    </xf>
    <xf numFmtId="0" fontId="6" fillId="0" borderId="0" xfId="62" applyFont="1" applyFill="1" applyAlignment="1" applyProtection="1">
      <alignment horizontal="left"/>
      <protection/>
    </xf>
    <xf numFmtId="0" fontId="6" fillId="0" borderId="0" xfId="62" applyFont="1" applyFill="1" applyAlignment="1" applyProtection="1">
      <alignment/>
      <protection/>
    </xf>
    <xf numFmtId="0" fontId="6" fillId="0" borderId="0" xfId="62" applyFont="1" applyFill="1" applyAlignment="1" applyProtection="1" quotePrefix="1">
      <alignment/>
      <protection/>
    </xf>
    <xf numFmtId="14" fontId="6" fillId="0" borderId="0" xfId="0" applyNumberFormat="1" applyFont="1" applyFill="1" applyAlignment="1" applyProtection="1">
      <alignment horizontal="left"/>
      <protection/>
    </xf>
    <xf numFmtId="0" fontId="6" fillId="0" borderId="0" xfId="62" applyFont="1" applyFill="1" applyBorder="1" applyAlignment="1" applyProtection="1">
      <alignment horizontal="centerContinuous"/>
      <protection/>
    </xf>
    <xf numFmtId="0" fontId="0" fillId="33" borderId="30" xfId="0" applyFont="1" applyFill="1" applyBorder="1" applyAlignment="1" applyProtection="1">
      <alignment horizontal="centerContinuous"/>
      <protection/>
    </xf>
    <xf numFmtId="0" fontId="0" fillId="33" borderId="19" xfId="0" applyFont="1" applyFill="1" applyBorder="1" applyAlignment="1" applyProtection="1">
      <alignment horizontal="centerContinuous"/>
      <protection/>
    </xf>
    <xf numFmtId="0" fontId="10" fillId="0" borderId="0" xfId="62" applyFont="1" applyBorder="1" applyAlignment="1" applyProtection="1">
      <alignment horizontal="centerContinuous"/>
      <protection/>
    </xf>
    <xf numFmtId="0" fontId="0" fillId="0" borderId="0" xfId="62" applyFont="1" applyBorder="1" applyAlignment="1" applyProtection="1">
      <alignment horizontal="centerContinuous"/>
      <protection/>
    </xf>
    <xf numFmtId="0" fontId="16" fillId="0" borderId="0" xfId="0" applyFont="1" applyAlignment="1" applyProtection="1">
      <alignment/>
      <protection/>
    </xf>
    <xf numFmtId="0" fontId="10" fillId="0" borderId="31" xfId="0" applyFont="1" applyBorder="1" applyAlignment="1" applyProtection="1">
      <alignment horizontal="centerContinuous"/>
      <protection/>
    </xf>
    <xf numFmtId="0" fontId="10" fillId="0" borderId="32" xfId="0" applyFont="1" applyBorder="1" applyAlignment="1" applyProtection="1">
      <alignment horizontal="centerContinuous"/>
      <protection/>
    </xf>
    <xf numFmtId="0" fontId="6" fillId="0" borderId="33" xfId="0" applyFont="1" applyBorder="1" applyAlignment="1" applyProtection="1">
      <alignment horizontal="centerContinuous"/>
      <protection/>
    </xf>
    <xf numFmtId="0" fontId="10" fillId="0" borderId="26" xfId="0" applyFont="1" applyBorder="1" applyAlignment="1" applyProtection="1">
      <alignment horizontal="centerContinuous"/>
      <protection/>
    </xf>
    <xf numFmtId="0" fontId="13" fillId="0" borderId="33" xfId="0" applyFont="1" applyBorder="1" applyAlignment="1" applyProtection="1">
      <alignment horizontal="centerContinuous"/>
      <protection/>
    </xf>
    <xf numFmtId="165" fontId="6" fillId="0" borderId="0" xfId="62" applyNumberFormat="1" applyFont="1" applyFill="1" applyBorder="1" applyAlignment="1" applyProtection="1">
      <alignment horizontal="centerContinuous"/>
      <protection/>
    </xf>
    <xf numFmtId="1" fontId="6" fillId="0" borderId="0" xfId="62" applyNumberFormat="1" applyFont="1" applyFill="1" applyBorder="1" applyAlignment="1" applyProtection="1">
      <alignment horizontal="centerContinuous"/>
      <protection/>
    </xf>
    <xf numFmtId="0" fontId="6" fillId="0" borderId="0" xfId="62" applyFont="1" applyFill="1" applyBorder="1" applyAlignment="1" applyProtection="1">
      <alignment horizontal="left"/>
      <protection/>
    </xf>
    <xf numFmtId="1" fontId="6" fillId="0" borderId="34" xfId="62" applyNumberFormat="1" applyFont="1" applyFill="1" applyBorder="1" applyAlignment="1" applyProtection="1" quotePrefix="1">
      <alignment horizontal="center"/>
      <protection/>
    </xf>
    <xf numFmtId="0" fontId="10" fillId="0" borderId="33" xfId="62" applyFont="1" applyBorder="1" applyAlignment="1" applyProtection="1">
      <alignment horizontal="centerContinuous"/>
      <protection/>
    </xf>
    <xf numFmtId="0" fontId="10" fillId="0" borderId="33" xfId="0" applyFont="1" applyBorder="1" applyAlignment="1" applyProtection="1">
      <alignment horizontal="centerContinuous"/>
      <protection/>
    </xf>
    <xf numFmtId="0" fontId="6" fillId="0" borderId="33" xfId="62" applyFont="1" applyBorder="1" applyAlignment="1" applyProtection="1">
      <alignment horizontal="centerContinuous"/>
      <protection/>
    </xf>
    <xf numFmtId="164" fontId="6" fillId="0" borderId="11" xfId="62" applyNumberFormat="1" applyFont="1" applyFill="1" applyBorder="1" applyAlignment="1" applyProtection="1" quotePrefix="1">
      <alignment horizontal="center"/>
      <protection/>
    </xf>
    <xf numFmtId="0" fontId="3" fillId="0" borderId="0" xfId="60" applyFont="1">
      <alignment/>
      <protection/>
    </xf>
    <xf numFmtId="0" fontId="3" fillId="0" borderId="0" xfId="0" applyFont="1" applyAlignment="1">
      <alignment/>
    </xf>
    <xf numFmtId="0" fontId="17" fillId="0" borderId="0" xfId="60" applyFont="1" applyAlignment="1">
      <alignment horizontal="center"/>
      <protection/>
    </xf>
    <xf numFmtId="17" fontId="17" fillId="0" borderId="0" xfId="60" applyNumberFormat="1" applyFont="1" applyAlignment="1" quotePrefix="1">
      <alignment horizontal="right"/>
      <protection/>
    </xf>
    <xf numFmtId="0" fontId="19" fillId="0" borderId="0" xfId="60" applyFont="1" applyFill="1">
      <alignment/>
      <protection/>
    </xf>
    <xf numFmtId="0" fontId="3" fillId="0" borderId="0" xfId="60" applyFont="1" applyFill="1" applyAlignment="1">
      <alignment horizontal="left"/>
      <protection/>
    </xf>
    <xf numFmtId="0" fontId="3" fillId="0" borderId="0" xfId="60" applyFont="1" applyFill="1">
      <alignment/>
      <protection/>
    </xf>
    <xf numFmtId="0" fontId="3" fillId="0" borderId="0" xfId="0" applyFont="1" applyFill="1" applyAlignment="1">
      <alignment/>
    </xf>
    <xf numFmtId="0" fontId="3" fillId="0" borderId="0" xfId="0" applyFont="1" applyFill="1" applyAlignment="1">
      <alignment horizontal="centerContinuous"/>
    </xf>
    <xf numFmtId="0" fontId="18" fillId="0" borderId="0" xfId="60" applyFont="1" applyFill="1">
      <alignment/>
      <protection/>
    </xf>
    <xf numFmtId="0" fontId="3" fillId="0" borderId="0" xfId="60" applyFont="1" applyFill="1" applyAlignment="1" quotePrefix="1">
      <alignment horizontal="centerContinuous"/>
      <protection/>
    </xf>
    <xf numFmtId="0" fontId="3" fillId="0" borderId="0" xfId="60" applyFont="1" applyFill="1" applyAlignment="1" applyProtection="1">
      <alignment horizontal="left"/>
      <protection/>
    </xf>
    <xf numFmtId="0" fontId="19" fillId="0" borderId="0" xfId="60" applyFont="1" applyAlignment="1">
      <alignment/>
      <protection/>
    </xf>
    <xf numFmtId="0" fontId="3" fillId="0" borderId="0" xfId="60" applyFont="1" applyAlignment="1">
      <alignment/>
      <protection/>
    </xf>
    <xf numFmtId="0" fontId="3" fillId="0" borderId="0" xfId="60" applyFont="1" applyAlignment="1">
      <alignment horizontal="center"/>
      <protection/>
    </xf>
    <xf numFmtId="0" fontId="17" fillId="0" borderId="0" xfId="60" applyFont="1" applyAlignment="1">
      <alignment/>
      <protection/>
    </xf>
    <xf numFmtId="0" fontId="18" fillId="0" borderId="0" xfId="60" applyFont="1" applyAlignment="1">
      <alignment/>
      <protection/>
    </xf>
    <xf numFmtId="164" fontId="3" fillId="0" borderId="35" xfId="60" applyNumberFormat="1" applyFont="1" applyFill="1" applyBorder="1" applyAlignment="1">
      <alignment horizontal="center"/>
      <protection/>
    </xf>
    <xf numFmtId="0" fontId="3" fillId="0" borderId="0" xfId="60" applyFont="1" applyBorder="1">
      <alignment/>
      <protection/>
    </xf>
    <xf numFmtId="164" fontId="3" fillId="0" borderId="0" xfId="60" applyNumberFormat="1" applyFont="1">
      <alignment/>
      <protection/>
    </xf>
    <xf numFmtId="1" fontId="3" fillId="0" borderId="0" xfId="60" applyNumberFormat="1" applyFont="1">
      <alignment/>
      <protection/>
    </xf>
    <xf numFmtId="165" fontId="3" fillId="0" borderId="0" xfId="60" applyNumberFormat="1" applyFont="1">
      <alignment/>
      <protection/>
    </xf>
    <xf numFmtId="0" fontId="6" fillId="0" borderId="36" xfId="62" applyFont="1" applyBorder="1" applyAlignment="1" applyProtection="1">
      <alignment horizontal="center"/>
      <protection/>
    </xf>
    <xf numFmtId="165" fontId="6" fillId="0" borderId="36" xfId="62" applyNumberFormat="1" applyFont="1" applyBorder="1" applyAlignment="1" applyProtection="1">
      <alignment horizontal="center"/>
      <protection/>
    </xf>
    <xf numFmtId="0" fontId="6" fillId="0" borderId="0" xfId="0" applyFont="1" applyAlignment="1" applyProtection="1">
      <alignment horizontal="left"/>
      <protection/>
    </xf>
    <xf numFmtId="0" fontId="10" fillId="0" borderId="0" xfId="62" applyFont="1" applyAlignment="1" applyProtection="1">
      <alignment horizontal="left"/>
      <protection/>
    </xf>
    <xf numFmtId="164" fontId="6" fillId="0" borderId="0" xfId="62" applyNumberFormat="1" applyFont="1" applyBorder="1" applyAlignment="1">
      <alignment horizontal="center"/>
      <protection/>
    </xf>
    <xf numFmtId="164" fontId="6" fillId="0" borderId="22" xfId="62" applyNumberFormat="1" applyFont="1" applyBorder="1" applyAlignment="1">
      <alignment horizontal="center"/>
      <protection/>
    </xf>
    <xf numFmtId="164" fontId="6" fillId="0" borderId="30" xfId="62" applyNumberFormat="1" applyFont="1" applyBorder="1" applyAlignment="1">
      <alignment horizontal="center"/>
      <protection/>
    </xf>
    <xf numFmtId="164" fontId="6" fillId="0" borderId="28" xfId="62" applyNumberFormat="1" applyFont="1" applyBorder="1" applyAlignment="1">
      <alignment horizontal="center"/>
      <protection/>
    </xf>
    <xf numFmtId="164" fontId="6" fillId="0" borderId="19" xfId="62" applyNumberFormat="1" applyFont="1" applyBorder="1" applyAlignment="1">
      <alignment horizontal="center"/>
      <protection/>
    </xf>
    <xf numFmtId="0" fontId="0" fillId="0" borderId="31" xfId="62" applyFont="1" applyBorder="1" applyAlignment="1">
      <alignment/>
      <protection/>
    </xf>
    <xf numFmtId="0" fontId="0" fillId="0" borderId="33" xfId="62" applyFont="1" applyBorder="1" applyAlignment="1">
      <alignment/>
      <protection/>
    </xf>
    <xf numFmtId="0" fontId="0" fillId="0" borderId="27" xfId="62" applyFont="1" applyBorder="1" applyAlignment="1">
      <alignment/>
      <protection/>
    </xf>
    <xf numFmtId="0" fontId="2" fillId="0" borderId="33" xfId="62" applyFont="1" applyBorder="1" applyAlignment="1">
      <alignment/>
      <protection/>
    </xf>
    <xf numFmtId="0" fontId="6" fillId="0" borderId="0" xfId="62" applyFont="1" applyAlignment="1" applyProtection="1">
      <alignment/>
      <protection/>
    </xf>
    <xf numFmtId="0" fontId="6" fillId="0" borderId="0" xfId="62" applyFont="1" applyFill="1" applyBorder="1" applyAlignment="1" applyProtection="1">
      <alignment/>
      <protection/>
    </xf>
    <xf numFmtId="0" fontId="6" fillId="0" borderId="0" xfId="0" applyFont="1" applyAlignment="1" applyProtection="1">
      <alignment/>
      <protection/>
    </xf>
    <xf numFmtId="0" fontId="0" fillId="0" borderId="0" xfId="0" applyAlignment="1" applyProtection="1">
      <alignment/>
      <protection/>
    </xf>
    <xf numFmtId="168" fontId="3" fillId="0" borderId="0" xfId="60" applyNumberFormat="1" applyFont="1" applyFill="1" applyAlignment="1">
      <alignment horizontal="centerContinuous"/>
      <protection/>
    </xf>
    <xf numFmtId="0" fontId="10" fillId="0" borderId="0" xfId="62" applyFont="1" applyProtection="1">
      <alignment/>
      <protection/>
    </xf>
    <xf numFmtId="2" fontId="6" fillId="0" borderId="0" xfId="62" applyNumberFormat="1" applyFont="1" applyBorder="1" applyAlignment="1" applyProtection="1">
      <alignment horizontal="center"/>
      <protection/>
    </xf>
    <xf numFmtId="2" fontId="6" fillId="0" borderId="28" xfId="62" applyNumberFormat="1" applyFont="1" applyBorder="1" applyAlignment="1" applyProtection="1">
      <alignment horizontal="center"/>
      <protection/>
    </xf>
    <xf numFmtId="0" fontId="6" fillId="0" borderId="30" xfId="62" applyFont="1" applyBorder="1" applyAlignment="1">
      <alignment horizontal="center"/>
      <protection/>
    </xf>
    <xf numFmtId="1" fontId="6" fillId="34" borderId="0" xfId="62" applyNumberFormat="1" applyFont="1" applyFill="1" applyAlignment="1" applyProtection="1">
      <alignment horizontal="left"/>
      <protection locked="0"/>
    </xf>
    <xf numFmtId="0" fontId="0" fillId="34" borderId="37" xfId="0" applyFill="1" applyBorder="1" applyAlignment="1" applyProtection="1">
      <alignment horizontal="centerContinuous"/>
      <protection locked="0"/>
    </xf>
    <xf numFmtId="0" fontId="6" fillId="34" borderId="38" xfId="62" applyFont="1" applyFill="1" applyBorder="1" applyAlignment="1" applyProtection="1">
      <alignment horizontal="center"/>
      <protection locked="0"/>
    </xf>
    <xf numFmtId="0" fontId="6" fillId="34" borderId="39" xfId="62" applyFont="1" applyFill="1" applyBorder="1" applyAlignment="1" applyProtection="1">
      <alignment horizontal="center"/>
      <protection locked="0"/>
    </xf>
    <xf numFmtId="164" fontId="6" fillId="34" borderId="12" xfId="62" applyNumberFormat="1" applyFont="1" applyFill="1" applyBorder="1" applyAlignment="1" applyProtection="1">
      <alignment horizontal="center"/>
      <protection locked="0"/>
    </xf>
    <xf numFmtId="164" fontId="6" fillId="34" borderId="11" xfId="62" applyNumberFormat="1" applyFont="1" applyFill="1" applyBorder="1" applyAlignment="1" applyProtection="1">
      <alignment horizontal="center"/>
      <protection locked="0"/>
    </xf>
    <xf numFmtId="166" fontId="6" fillId="34" borderId="14" xfId="62" applyNumberFormat="1" applyFont="1" applyFill="1" applyBorder="1" applyAlignment="1" applyProtection="1">
      <alignment horizontal="center"/>
      <protection locked="0"/>
    </xf>
    <xf numFmtId="167" fontId="6" fillId="34" borderId="14" xfId="62" applyNumberFormat="1" applyFont="1" applyFill="1" applyBorder="1" applyAlignment="1" applyProtection="1">
      <alignment horizontal="center"/>
      <protection locked="0"/>
    </xf>
    <xf numFmtId="166" fontId="6" fillId="34" borderId="10" xfId="62" applyNumberFormat="1" applyFont="1" applyFill="1" applyBorder="1" applyAlignment="1" applyProtection="1">
      <alignment horizontal="center"/>
      <protection locked="0"/>
    </xf>
    <xf numFmtId="167" fontId="6" fillId="34" borderId="10" xfId="62" applyNumberFormat="1" applyFont="1" applyFill="1" applyBorder="1" applyAlignment="1" applyProtection="1">
      <alignment horizontal="center"/>
      <protection locked="0"/>
    </xf>
    <xf numFmtId="164" fontId="6" fillId="34" borderId="14" xfId="62" applyNumberFormat="1" applyFont="1" applyFill="1" applyBorder="1" applyAlignment="1" applyProtection="1">
      <alignment horizontal="center"/>
      <protection locked="0"/>
    </xf>
    <xf numFmtId="164" fontId="6" fillId="34" borderId="10" xfId="62" applyNumberFormat="1" applyFont="1" applyFill="1" applyBorder="1" applyAlignment="1" applyProtection="1">
      <alignment horizontal="center"/>
      <protection locked="0"/>
    </xf>
    <xf numFmtId="164" fontId="3" fillId="34" borderId="35" xfId="60" applyNumberFormat="1" applyFont="1" applyFill="1" applyBorder="1" applyAlignment="1" applyProtection="1">
      <alignment horizontal="center"/>
      <protection locked="0"/>
    </xf>
    <xf numFmtId="0" fontId="18" fillId="34" borderId="0" xfId="60" applyFont="1" applyFill="1" applyAlignment="1" applyProtection="1">
      <alignment/>
      <protection locked="0"/>
    </xf>
    <xf numFmtId="0" fontId="3" fillId="34" borderId="0" xfId="60" applyFont="1" applyFill="1">
      <alignment/>
      <protection/>
    </xf>
    <xf numFmtId="165" fontId="3" fillId="34" borderId="35" xfId="60" applyNumberFormat="1" applyFont="1" applyFill="1" applyBorder="1" applyAlignment="1" applyProtection="1">
      <alignment horizontal="center"/>
      <protection locked="0"/>
    </xf>
    <xf numFmtId="0" fontId="0" fillId="0" borderId="33" xfId="0" applyBorder="1" applyAlignment="1">
      <alignment horizontal="centerContinuous"/>
    </xf>
    <xf numFmtId="0" fontId="0" fillId="0" borderId="33" xfId="62" applyFont="1" applyBorder="1" applyAlignment="1">
      <alignment horizontal="centerContinuous"/>
      <protection/>
    </xf>
    <xf numFmtId="1" fontId="3" fillId="0" borderId="0" xfId="56" applyNumberFormat="1" applyAlignment="1" applyProtection="1">
      <alignment horizontal="center"/>
      <protection locked="0"/>
    </xf>
    <xf numFmtId="0" fontId="6" fillId="0" borderId="40" xfId="62" applyFont="1" applyBorder="1" applyAlignment="1" applyProtection="1">
      <alignment horizontal="center"/>
      <protection/>
    </xf>
    <xf numFmtId="0" fontId="6" fillId="0" borderId="27" xfId="62" applyFont="1" applyBorder="1" applyAlignment="1">
      <alignment horizontal="centerContinuous"/>
      <protection/>
    </xf>
    <xf numFmtId="164" fontId="6" fillId="0" borderId="0" xfId="62" applyNumberFormat="1" applyFont="1" applyBorder="1" applyAlignment="1" applyProtection="1">
      <alignment horizontal="center"/>
      <protection/>
    </xf>
    <xf numFmtId="0" fontId="6" fillId="0" borderId="0" xfId="62" applyFont="1" applyProtection="1">
      <alignment/>
      <protection hidden="1" locked="0"/>
    </xf>
    <xf numFmtId="0" fontId="6" fillId="0" borderId="0" xfId="62" applyFont="1" applyAlignment="1" applyProtection="1">
      <alignment horizontal="center"/>
      <protection hidden="1" locked="0"/>
    </xf>
    <xf numFmtId="0" fontId="3" fillId="0" borderId="0" xfId="56" applyAlignment="1" applyProtection="1">
      <alignment horizontal="center"/>
      <protection locked="0"/>
    </xf>
    <xf numFmtId="0" fontId="6" fillId="0" borderId="31" xfId="62" applyFont="1" applyBorder="1" applyAlignment="1" applyProtection="1">
      <alignment horizontal="center"/>
      <protection/>
    </xf>
    <xf numFmtId="0" fontId="6" fillId="0" borderId="26" xfId="62" applyFont="1" applyBorder="1" applyAlignment="1" applyProtection="1">
      <alignment horizontal="center"/>
      <protection/>
    </xf>
    <xf numFmtId="0" fontId="6" fillId="0" borderId="27" xfId="0" applyFont="1" applyBorder="1" applyAlignment="1">
      <alignment horizontal="center"/>
    </xf>
    <xf numFmtId="0" fontId="6" fillId="0" borderId="37" xfId="0" applyFont="1" applyBorder="1" applyAlignment="1">
      <alignment horizontal="center"/>
    </xf>
    <xf numFmtId="164" fontId="6" fillId="0" borderId="36" xfId="62" applyNumberFormat="1" applyFont="1" applyBorder="1" applyAlignment="1">
      <alignment horizontal="center"/>
      <protection/>
    </xf>
    <xf numFmtId="0" fontId="0" fillId="0" borderId="27" xfId="62" applyFont="1" applyBorder="1" applyAlignment="1">
      <alignment horizontal="centerContinuous"/>
      <protection/>
    </xf>
    <xf numFmtId="0" fontId="2" fillId="0" borderId="31" xfId="0" applyFont="1" applyBorder="1" applyAlignment="1">
      <alignment horizontal="centerContinuous"/>
    </xf>
    <xf numFmtId="0" fontId="0" fillId="0" borderId="10" xfId="62" applyFont="1" applyBorder="1" applyAlignment="1">
      <alignment horizontal="centerContinuous"/>
      <protection/>
    </xf>
    <xf numFmtId="0" fontId="0" fillId="0" borderId="24" xfId="62" applyFont="1" applyBorder="1" applyAlignment="1">
      <alignment horizontal="centerContinuous"/>
      <protection/>
    </xf>
    <xf numFmtId="0" fontId="0" fillId="0" borderId="36" xfId="62" applyFont="1" applyBorder="1" applyAlignment="1">
      <alignment horizontal="center"/>
      <protection/>
    </xf>
    <xf numFmtId="0" fontId="0" fillId="0" borderId="36" xfId="0" applyFont="1" applyBorder="1" applyAlignment="1">
      <alignment horizontal="center"/>
    </xf>
    <xf numFmtId="14" fontId="0" fillId="34" borderId="37" xfId="62" applyNumberFormat="1" applyFont="1" applyFill="1" applyBorder="1" applyAlignment="1" applyProtection="1">
      <alignment horizontal="center"/>
      <protection locked="0"/>
    </xf>
    <xf numFmtId="165" fontId="6" fillId="34" borderId="41" xfId="62" applyNumberFormat="1" applyFont="1" applyFill="1" applyBorder="1" applyAlignment="1" applyProtection="1">
      <alignment horizontal="center"/>
      <protection locked="0"/>
    </xf>
    <xf numFmtId="165" fontId="6" fillId="34" borderId="42" xfId="62" applyNumberFormat="1" applyFont="1" applyFill="1" applyBorder="1" applyAlignment="1" applyProtection="1">
      <alignment horizontal="center"/>
      <protection locked="0"/>
    </xf>
    <xf numFmtId="165" fontId="6" fillId="0" borderId="30" xfId="62" applyNumberFormat="1" applyFont="1" applyBorder="1" applyAlignment="1">
      <alignment horizontal="center"/>
      <protection/>
    </xf>
    <xf numFmtId="0" fontId="10" fillId="0" borderId="43" xfId="0" applyFont="1" applyBorder="1" applyAlignment="1">
      <alignment horizontal="center"/>
    </xf>
    <xf numFmtId="0" fontId="10" fillId="0" borderId="44" xfId="0" applyFont="1" applyBorder="1" applyAlignment="1">
      <alignment horizontal="center"/>
    </xf>
    <xf numFmtId="168" fontId="6" fillId="0" borderId="28" xfId="62" applyNumberFormat="1" applyFont="1" applyFill="1" applyBorder="1" applyAlignment="1">
      <alignment horizontal="centerContinuous"/>
      <protection/>
    </xf>
    <xf numFmtId="0" fontId="0" fillId="0" borderId="19" xfId="62" applyFont="1" applyFill="1" applyBorder="1" applyAlignment="1">
      <alignment horizontal="centerContinuous"/>
      <protection/>
    </xf>
    <xf numFmtId="0" fontId="10" fillId="0" borderId="43" xfId="0" applyFont="1" applyBorder="1" applyAlignment="1">
      <alignment horizontal="centerContinuous"/>
    </xf>
    <xf numFmtId="0" fontId="2" fillId="0" borderId="20" xfId="0" applyFont="1" applyBorder="1" applyAlignment="1">
      <alignment horizontal="center"/>
    </xf>
    <xf numFmtId="0" fontId="0" fillId="0" borderId="44" xfId="0" applyFont="1" applyBorder="1" applyAlignment="1">
      <alignment horizontal="centerContinuous"/>
    </xf>
    <xf numFmtId="165" fontId="6" fillId="0" borderId="22" xfId="62" applyNumberFormat="1" applyFont="1" applyBorder="1" applyAlignment="1">
      <alignment horizontal="center"/>
      <protection/>
    </xf>
    <xf numFmtId="0" fontId="0" fillId="0" borderId="28" xfId="62" applyFont="1" applyBorder="1" applyAlignment="1">
      <alignment horizontal="center"/>
      <protection/>
    </xf>
    <xf numFmtId="0" fontId="0" fillId="0" borderId="23" xfId="62" applyFont="1" applyBorder="1" applyAlignment="1">
      <alignment horizontal="center"/>
      <protection/>
    </xf>
    <xf numFmtId="0" fontId="6" fillId="0" borderId="19" xfId="62" applyFont="1" applyBorder="1" applyAlignment="1">
      <alignment horizontal="center"/>
      <protection/>
    </xf>
    <xf numFmtId="0" fontId="0" fillId="0" borderId="20" xfId="0" applyFont="1" applyBorder="1" applyAlignment="1">
      <alignment horizontal="centerContinuous"/>
    </xf>
    <xf numFmtId="0" fontId="6" fillId="0" borderId="29" xfId="62" applyFont="1" applyBorder="1" applyAlignment="1" applyProtection="1">
      <alignment horizontal="left"/>
      <protection/>
    </xf>
    <xf numFmtId="0" fontId="6" fillId="0" borderId="21" xfId="62" applyFont="1" applyBorder="1" applyAlignment="1" applyProtection="1">
      <alignment horizontal="center"/>
      <protection/>
    </xf>
    <xf numFmtId="0" fontId="6" fillId="0" borderId="28" xfId="62" applyFont="1" applyBorder="1" applyAlignment="1" applyProtection="1">
      <alignment horizontal="left"/>
      <protection/>
    </xf>
    <xf numFmtId="0" fontId="6" fillId="0" borderId="23" xfId="62" applyFont="1" applyBorder="1" applyAlignment="1" applyProtection="1">
      <alignment horizontal="center"/>
      <protection/>
    </xf>
    <xf numFmtId="1" fontId="6" fillId="0" borderId="0" xfId="62" applyNumberFormat="1" applyFont="1" applyBorder="1" applyAlignment="1">
      <alignment horizontal="center"/>
      <protection/>
    </xf>
    <xf numFmtId="0" fontId="3" fillId="34" borderId="0" xfId="60" applyFont="1" applyFill="1" applyProtection="1">
      <alignment/>
      <protection locked="0"/>
    </xf>
    <xf numFmtId="164" fontId="6" fillId="0" borderId="19" xfId="62" applyNumberFormat="1" applyFont="1" applyBorder="1" applyAlignment="1" applyProtection="1">
      <alignment horizontal="center"/>
      <protection/>
    </xf>
    <xf numFmtId="0" fontId="6" fillId="0" borderId="12" xfId="62" applyFont="1" applyBorder="1" applyAlignment="1" applyProtection="1" quotePrefix="1">
      <alignment horizontal="center"/>
      <protection/>
    </xf>
    <xf numFmtId="164" fontId="6" fillId="0" borderId="12" xfId="62" applyNumberFormat="1" applyFont="1" applyFill="1" applyBorder="1" applyAlignment="1" applyProtection="1">
      <alignment horizontal="center"/>
      <protection/>
    </xf>
    <xf numFmtId="164" fontId="6" fillId="0" borderId="14" xfId="62" applyNumberFormat="1" applyFont="1" applyFill="1" applyBorder="1" applyAlignment="1" applyProtection="1">
      <alignment horizontal="center"/>
      <protection/>
    </xf>
    <xf numFmtId="169" fontId="6" fillId="0" borderId="10" xfId="62" applyNumberFormat="1" applyFont="1" applyFill="1" applyBorder="1" applyAlignment="1" applyProtection="1">
      <alignment horizontal="center"/>
      <protection/>
    </xf>
    <xf numFmtId="169" fontId="6" fillId="0" borderId="10" xfId="62" applyNumberFormat="1" applyFont="1" applyBorder="1" applyAlignment="1" applyProtection="1">
      <alignment horizontal="center"/>
      <protection/>
    </xf>
    <xf numFmtId="0" fontId="6" fillId="0" borderId="24" xfId="62" applyFont="1" applyFill="1" applyBorder="1" applyAlignment="1" applyProtection="1">
      <alignment horizontal="centerContinuous"/>
      <protection/>
    </xf>
    <xf numFmtId="12" fontId="6" fillId="0" borderId="24" xfId="62" applyNumberFormat="1" applyFont="1" applyFill="1" applyBorder="1" applyAlignment="1" applyProtection="1">
      <alignment horizontal="centerContinuous"/>
      <protection/>
    </xf>
    <xf numFmtId="0" fontId="6" fillId="0" borderId="45" xfId="62" applyFont="1" applyFill="1" applyBorder="1" applyAlignment="1" applyProtection="1">
      <alignment horizontal="centerContinuous"/>
      <protection/>
    </xf>
    <xf numFmtId="0" fontId="6" fillId="0" borderId="46" xfId="0" applyFont="1" applyFill="1" applyBorder="1" applyAlignment="1">
      <alignment horizontal="centerContinuous"/>
    </xf>
    <xf numFmtId="0" fontId="0" fillId="0" borderId="35" xfId="0" applyBorder="1" applyAlignment="1">
      <alignment horizontal="centerContinuous"/>
    </xf>
    <xf numFmtId="0" fontId="0" fillId="0" borderId="23" xfId="0" applyBorder="1" applyAlignment="1">
      <alignment horizontal="centerContinuous"/>
    </xf>
    <xf numFmtId="2" fontId="21" fillId="0" borderId="37" xfId="56" applyNumberFormat="1" applyFont="1" applyFill="1" applyBorder="1" applyAlignment="1" applyProtection="1">
      <alignment horizontal="centerContinuous"/>
      <protection/>
    </xf>
    <xf numFmtId="1" fontId="21" fillId="0" borderId="37" xfId="56" applyNumberFormat="1" applyFont="1" applyFill="1" applyBorder="1" applyAlignment="1" applyProtection="1">
      <alignment horizontal="centerContinuous"/>
      <protection/>
    </xf>
    <xf numFmtId="164" fontId="21" fillId="0" borderId="37" xfId="56" applyNumberFormat="1" applyFont="1" applyFill="1" applyBorder="1" applyAlignment="1" applyProtection="1">
      <alignment horizontal="centerContinuous"/>
      <protection/>
    </xf>
    <xf numFmtId="165" fontId="21" fillId="0" borderId="37" xfId="56" applyNumberFormat="1" applyFont="1" applyFill="1" applyBorder="1" applyAlignment="1" applyProtection="1">
      <alignment horizontal="centerContinuous"/>
      <protection/>
    </xf>
    <xf numFmtId="0" fontId="0" fillId="0" borderId="35" xfId="0" applyFill="1" applyBorder="1" applyAlignment="1" applyProtection="1">
      <alignment horizontal="centerContinuous"/>
      <protection/>
    </xf>
    <xf numFmtId="0" fontId="0" fillId="0" borderId="35" xfId="0" applyFill="1" applyBorder="1" applyAlignment="1" applyProtection="1" quotePrefix="1">
      <alignment horizontal="centerContinuous"/>
      <protection/>
    </xf>
    <xf numFmtId="164" fontId="0" fillId="0" borderId="35" xfId="0" applyNumberFormat="1" applyFill="1" applyBorder="1" applyAlignment="1" applyProtection="1">
      <alignment horizontal="centerContinuous"/>
      <protection/>
    </xf>
    <xf numFmtId="0" fontId="0" fillId="0" borderId="10" xfId="0" applyBorder="1" applyAlignment="1">
      <alignment/>
    </xf>
    <xf numFmtId="164" fontId="6" fillId="0" borderId="47" xfId="62" applyNumberFormat="1" applyFont="1" applyBorder="1" applyAlignment="1" applyProtection="1">
      <alignment horizontal="center"/>
      <protection/>
    </xf>
    <xf numFmtId="1" fontId="6" fillId="0" borderId="21" xfId="62" applyNumberFormat="1" applyFont="1" applyBorder="1" applyAlignment="1" applyProtection="1">
      <alignment horizontal="center"/>
      <protection/>
    </xf>
    <xf numFmtId="165" fontId="6" fillId="0" borderId="19" xfId="62" applyNumberFormat="1" applyFont="1" applyBorder="1" applyAlignment="1">
      <alignment horizontal="center"/>
      <protection/>
    </xf>
    <xf numFmtId="165" fontId="6" fillId="0" borderId="0" xfId="62" applyNumberFormat="1" applyFont="1" applyBorder="1" applyAlignment="1">
      <alignment horizontal="center"/>
      <protection/>
    </xf>
    <xf numFmtId="0" fontId="6" fillId="0" borderId="24" xfId="0" applyFont="1" applyBorder="1" applyAlignment="1">
      <alignment horizontal="centerContinuous"/>
    </xf>
    <xf numFmtId="0" fontId="0" fillId="0" borderId="44" xfId="0" applyFont="1" applyBorder="1" applyAlignment="1">
      <alignment/>
    </xf>
    <xf numFmtId="164" fontId="6" fillId="0" borderId="22" xfId="0" applyNumberFormat="1" applyFont="1" applyBorder="1" applyAlignment="1">
      <alignment horizontal="center"/>
    </xf>
    <xf numFmtId="0" fontId="6" fillId="0" borderId="30" xfId="0" applyFont="1" applyBorder="1" applyAlignment="1">
      <alignment horizontal="center"/>
    </xf>
    <xf numFmtId="164" fontId="10" fillId="0" borderId="43" xfId="62" applyNumberFormat="1" applyFont="1" applyBorder="1" applyAlignment="1">
      <alignment horizontal="centerContinuous"/>
      <protection/>
    </xf>
    <xf numFmtId="164" fontId="6" fillId="0" borderId="44" xfId="62" applyNumberFormat="1" applyFont="1" applyBorder="1" applyAlignment="1">
      <alignment horizontal="centerContinuous"/>
      <protection/>
    </xf>
    <xf numFmtId="164" fontId="6" fillId="0" borderId="30" xfId="0" applyNumberFormat="1" applyFont="1" applyBorder="1" applyAlignment="1">
      <alignment horizontal="center"/>
    </xf>
    <xf numFmtId="1" fontId="6" fillId="0" borderId="30" xfId="0" applyNumberFormat="1" applyFont="1" applyBorder="1" applyAlignment="1">
      <alignment horizontal="center"/>
    </xf>
    <xf numFmtId="164" fontId="6" fillId="0" borderId="0" xfId="62" applyNumberFormat="1" applyFont="1" applyBorder="1" applyAlignment="1">
      <alignment/>
      <protection/>
    </xf>
    <xf numFmtId="0" fontId="0" fillId="0" borderId="14" xfId="0" applyBorder="1" applyAlignment="1">
      <alignment/>
    </xf>
    <xf numFmtId="164" fontId="6" fillId="0" borderId="10" xfId="0" applyNumberFormat="1" applyFont="1" applyBorder="1" applyAlignment="1">
      <alignment horizontal="center"/>
    </xf>
    <xf numFmtId="0" fontId="6" fillId="0" borderId="31" xfId="62" applyFont="1" applyBorder="1" applyAlignment="1" applyProtection="1">
      <alignment horizontal="centerContinuous"/>
      <protection/>
    </xf>
    <xf numFmtId="0" fontId="10" fillId="0" borderId="48" xfId="62" applyFont="1" applyBorder="1" applyAlignment="1" applyProtection="1">
      <alignment horizontal="center" vertical="center" wrapText="1"/>
      <protection/>
    </xf>
    <xf numFmtId="0" fontId="9" fillId="0" borderId="0" xfId="0" applyFont="1" applyAlignment="1">
      <alignment/>
    </xf>
    <xf numFmtId="164" fontId="6" fillId="0" borderId="12" xfId="0" applyNumberFormat="1" applyFont="1" applyBorder="1" applyAlignment="1">
      <alignment horizontal="center"/>
    </xf>
    <xf numFmtId="1" fontId="3" fillId="0" borderId="0" xfId="60" applyNumberFormat="1" applyFont="1" applyFill="1" applyAlignment="1">
      <alignment horizontal="centerContinuous"/>
      <protection/>
    </xf>
    <xf numFmtId="0" fontId="6" fillId="0" borderId="27" xfId="62" applyFont="1" applyFill="1" applyBorder="1" applyAlignment="1" applyProtection="1">
      <alignment horizontal="centerContinuous"/>
      <protection/>
    </xf>
    <xf numFmtId="1" fontId="6" fillId="0" borderId="19" xfId="0" applyNumberFormat="1" applyFont="1" applyBorder="1" applyAlignment="1">
      <alignment horizontal="center"/>
    </xf>
    <xf numFmtId="0" fontId="6" fillId="0" borderId="19" xfId="0" applyFont="1" applyBorder="1" applyAlignment="1">
      <alignment horizontal="center"/>
    </xf>
    <xf numFmtId="164" fontId="6" fillId="0" borderId="19" xfId="0" applyNumberFormat="1" applyFont="1" applyBorder="1" applyAlignment="1">
      <alignment horizontal="center"/>
    </xf>
    <xf numFmtId="164" fontId="6" fillId="0" borderId="28" xfId="0" applyNumberFormat="1" applyFont="1" applyBorder="1" applyAlignment="1">
      <alignment horizontal="center"/>
    </xf>
    <xf numFmtId="1" fontId="5" fillId="34" borderId="49" xfId="56" applyNumberFormat="1" applyFont="1" applyFill="1" applyBorder="1" applyAlignment="1" applyProtection="1">
      <alignment horizontal="center"/>
      <protection locked="0"/>
    </xf>
    <xf numFmtId="1" fontId="10" fillId="34" borderId="50" xfId="62" applyNumberFormat="1" applyFont="1" applyFill="1" applyBorder="1" applyAlignment="1" applyProtection="1" quotePrefix="1">
      <alignment horizontal="center"/>
      <protection locked="0"/>
    </xf>
    <xf numFmtId="0" fontId="6" fillId="34" borderId="37" xfId="0" applyFont="1" applyFill="1" applyBorder="1" applyAlignment="1" applyProtection="1">
      <alignment horizontal="center"/>
      <protection locked="0"/>
    </xf>
    <xf numFmtId="1" fontId="6" fillId="34" borderId="37" xfId="0" applyNumberFormat="1" applyFont="1" applyFill="1" applyBorder="1" applyAlignment="1" applyProtection="1">
      <alignment horizontal="center"/>
      <protection locked="0"/>
    </xf>
    <xf numFmtId="0" fontId="6" fillId="34" borderId="19" xfId="0" applyFont="1" applyFill="1" applyBorder="1" applyAlignment="1" applyProtection="1">
      <alignment horizontal="center"/>
      <protection locked="0"/>
    </xf>
    <xf numFmtId="0" fontId="0" fillId="0" borderId="10" xfId="0" applyBorder="1" applyAlignment="1">
      <alignment horizontal="centerContinuous"/>
    </xf>
    <xf numFmtId="0" fontId="0" fillId="0" borderId="12" xfId="0" applyBorder="1" applyAlignment="1">
      <alignment horizontal="centerContinuous"/>
    </xf>
    <xf numFmtId="0" fontId="0" fillId="0" borderId="37" xfId="0" applyFill="1" applyBorder="1" applyAlignment="1" applyProtection="1">
      <alignment horizontal="centerContinuous"/>
      <protection/>
    </xf>
    <xf numFmtId="0" fontId="28" fillId="0" borderId="35" xfId="0" applyFont="1" applyFill="1" applyBorder="1" applyAlignment="1" applyProtection="1">
      <alignment horizontal="centerContinuous"/>
      <protection/>
    </xf>
    <xf numFmtId="1" fontId="29" fillId="0" borderId="37" xfId="56" applyNumberFormat="1" applyFont="1" applyFill="1" applyBorder="1" applyAlignment="1" applyProtection="1">
      <alignment horizontal="centerContinuous"/>
      <protection/>
    </xf>
    <xf numFmtId="1" fontId="15" fillId="0" borderId="37" xfId="62" applyNumberFormat="1" applyFont="1" applyFill="1" applyBorder="1" applyAlignment="1" applyProtection="1">
      <alignment horizontal="centerContinuous"/>
      <protection/>
    </xf>
    <xf numFmtId="164" fontId="29" fillId="0" borderId="37" xfId="56" applyNumberFormat="1" applyFont="1" applyFill="1" applyBorder="1" applyAlignment="1" applyProtection="1">
      <alignment horizontal="centerContinuous"/>
      <protection/>
    </xf>
    <xf numFmtId="1" fontId="6" fillId="0" borderId="23" xfId="62" applyNumberFormat="1" applyFont="1" applyBorder="1" applyAlignment="1" applyProtection="1">
      <alignment horizontal="center"/>
      <protection/>
    </xf>
    <xf numFmtId="0" fontId="2" fillId="33" borderId="30" xfId="62" applyFont="1" applyFill="1" applyBorder="1" applyAlignment="1" applyProtection="1">
      <alignment horizontal="centerContinuous"/>
      <protection/>
    </xf>
    <xf numFmtId="0" fontId="0" fillId="0" borderId="0" xfId="0" applyFill="1" applyAlignment="1" applyProtection="1">
      <alignment/>
      <protection/>
    </xf>
    <xf numFmtId="49" fontId="6" fillId="0" borderId="36" xfId="62" applyNumberFormat="1" applyFont="1" applyBorder="1" applyAlignment="1" applyProtection="1">
      <alignment horizontal="center"/>
      <protection/>
    </xf>
    <xf numFmtId="0" fontId="2" fillId="0" borderId="27" xfId="0" applyFont="1" applyBorder="1" applyAlignment="1">
      <alignment horizontal="centerContinuous"/>
    </xf>
    <xf numFmtId="0" fontId="2" fillId="0" borderId="29" xfId="0" applyFont="1" applyBorder="1" applyAlignment="1">
      <alignment horizontal="centerContinuous"/>
    </xf>
    <xf numFmtId="0" fontId="2" fillId="0" borderId="18" xfId="0" applyFont="1" applyBorder="1" applyAlignment="1">
      <alignment horizontal="centerContinuous"/>
    </xf>
    <xf numFmtId="2" fontId="0" fillId="34" borderId="10" xfId="0" applyNumberFormat="1" applyFill="1" applyBorder="1" applyAlignment="1" applyProtection="1">
      <alignment horizontal="center"/>
      <protection locked="0"/>
    </xf>
    <xf numFmtId="0" fontId="6" fillId="0" borderId="29" xfId="62" applyFont="1" applyBorder="1" applyAlignment="1" applyProtection="1">
      <alignment horizontal="center"/>
      <protection/>
    </xf>
    <xf numFmtId="2" fontId="10" fillId="0" borderId="18" xfId="62" applyNumberFormat="1" applyFont="1" applyBorder="1" applyAlignment="1" applyProtection="1">
      <alignment horizontal="center"/>
      <protection/>
    </xf>
    <xf numFmtId="0" fontId="2" fillId="0" borderId="28" xfId="0" applyFont="1" applyBorder="1" applyAlignment="1">
      <alignment horizontal="centerContinuous"/>
    </xf>
    <xf numFmtId="0" fontId="2" fillId="0" borderId="19" xfId="0" applyFont="1" applyBorder="1" applyAlignment="1">
      <alignment horizontal="centerContinuous"/>
    </xf>
    <xf numFmtId="0" fontId="6" fillId="0" borderId="22" xfId="62" applyFont="1" applyBorder="1" applyAlignment="1" applyProtection="1">
      <alignment horizontal="center"/>
      <protection/>
    </xf>
    <xf numFmtId="165" fontId="10" fillId="0" borderId="30" xfId="62" applyNumberFormat="1" applyFont="1" applyBorder="1" applyAlignment="1" applyProtection="1">
      <alignment horizontal="center"/>
      <protection/>
    </xf>
    <xf numFmtId="0" fontId="0" fillId="0" borderId="40" xfId="0" applyFont="1" applyBorder="1" applyAlignment="1">
      <alignment horizontal="center"/>
    </xf>
    <xf numFmtId="0" fontId="0" fillId="0" borderId="27" xfId="62" applyFont="1" applyBorder="1" applyAlignment="1">
      <alignment horizontal="centerContinuous"/>
      <protection/>
    </xf>
    <xf numFmtId="164" fontId="6" fillId="34" borderId="38" xfId="62" applyNumberFormat="1" applyFont="1" applyFill="1" applyBorder="1" applyAlignment="1" applyProtection="1">
      <alignment horizontal="center"/>
      <protection locked="0"/>
    </xf>
    <xf numFmtId="0" fontId="0" fillId="0" borderId="22" xfId="0" applyBorder="1" applyAlignment="1">
      <alignment/>
    </xf>
    <xf numFmtId="1" fontId="6" fillId="0" borderId="22" xfId="62" applyNumberFormat="1" applyFont="1" applyBorder="1" applyAlignment="1" applyProtection="1">
      <alignment horizontal="right"/>
      <protection/>
    </xf>
    <xf numFmtId="2" fontId="0" fillId="34" borderId="12" xfId="0" applyNumberFormat="1" applyFill="1" applyBorder="1" applyAlignment="1" applyProtection="1">
      <alignment horizontal="center"/>
      <protection locked="0"/>
    </xf>
    <xf numFmtId="165" fontId="10" fillId="0" borderId="51" xfId="62" applyNumberFormat="1" applyFont="1" applyBorder="1" applyAlignment="1" applyProtection="1">
      <alignment horizontal="center"/>
      <protection/>
    </xf>
    <xf numFmtId="0" fontId="3" fillId="0" borderId="0" xfId="56" applyProtection="1">
      <alignment/>
      <protection locked="0"/>
    </xf>
    <xf numFmtId="0" fontId="0" fillId="0" borderId="0" xfId="0" applyFill="1" applyBorder="1" applyAlignment="1" applyProtection="1">
      <alignment/>
      <protection/>
    </xf>
    <xf numFmtId="0" fontId="0" fillId="0" borderId="0" xfId="62" applyFont="1" applyFill="1" applyBorder="1" applyAlignment="1" applyProtection="1">
      <alignment/>
      <protection/>
    </xf>
    <xf numFmtId="0" fontId="10" fillId="0" borderId="0" xfId="0" applyFont="1" applyFill="1" applyBorder="1" applyAlignment="1" applyProtection="1">
      <alignment/>
      <protection/>
    </xf>
    <xf numFmtId="2" fontId="6" fillId="0" borderId="0" xfId="62" applyNumberFormat="1" applyFont="1" applyFill="1" applyBorder="1" applyAlignment="1" applyProtection="1">
      <alignment/>
      <protection/>
    </xf>
    <xf numFmtId="164" fontId="6" fillId="0" borderId="0" xfId="62" applyNumberFormat="1" applyFont="1" applyFill="1" applyBorder="1" applyAlignment="1" applyProtection="1">
      <alignment/>
      <protection/>
    </xf>
    <xf numFmtId="165" fontId="6" fillId="0" borderId="0" xfId="62" applyNumberFormat="1" applyFont="1" applyFill="1" applyBorder="1" applyAlignment="1" applyProtection="1">
      <alignment/>
      <protection/>
    </xf>
    <xf numFmtId="1" fontId="6" fillId="0" borderId="0" xfId="62" applyNumberFormat="1" applyFont="1" applyFill="1" applyBorder="1" applyAlignment="1" applyProtection="1">
      <alignment/>
      <protection/>
    </xf>
    <xf numFmtId="164" fontId="6" fillId="0" borderId="0" xfId="0" applyNumberFormat="1" applyFont="1" applyFill="1" applyBorder="1" applyAlignment="1" applyProtection="1">
      <alignment/>
      <protection/>
    </xf>
    <xf numFmtId="169" fontId="6" fillId="0" borderId="14" xfId="62" applyNumberFormat="1" applyFont="1" applyFill="1" applyBorder="1" applyAlignment="1" applyProtection="1">
      <alignment horizontal="center"/>
      <protection/>
    </xf>
    <xf numFmtId="167" fontId="6" fillId="0" borderId="14" xfId="62" applyNumberFormat="1" applyFont="1" applyBorder="1" applyAlignment="1" applyProtection="1">
      <alignment horizontal="center"/>
      <protection/>
    </xf>
    <xf numFmtId="165" fontId="6" fillId="0" borderId="14" xfId="62" applyNumberFormat="1" applyFont="1" applyBorder="1" applyAlignment="1" applyProtection="1">
      <alignment horizontal="center"/>
      <protection/>
    </xf>
    <xf numFmtId="169" fontId="6" fillId="0" borderId="14" xfId="62" applyNumberFormat="1" applyFont="1" applyBorder="1" applyAlignment="1" applyProtection="1">
      <alignment horizontal="center"/>
      <protection/>
    </xf>
    <xf numFmtId="164" fontId="6" fillId="0" borderId="14" xfId="62" applyNumberFormat="1" applyFont="1" applyBorder="1" applyAlignment="1" applyProtection="1">
      <alignment horizontal="center"/>
      <protection/>
    </xf>
    <xf numFmtId="0" fontId="0" fillId="0" borderId="14" xfId="62" applyFont="1" applyBorder="1" applyProtection="1">
      <alignment/>
      <protection/>
    </xf>
    <xf numFmtId="0" fontId="6" fillId="0" borderId="52" xfId="62" applyFont="1" applyBorder="1" applyAlignment="1" applyProtection="1">
      <alignment horizontal="center"/>
      <protection/>
    </xf>
    <xf numFmtId="0" fontId="6" fillId="0" borderId="53" xfId="62" applyFont="1" applyBorder="1" applyAlignment="1" applyProtection="1" quotePrefix="1">
      <alignment horizontal="center"/>
      <protection/>
    </xf>
    <xf numFmtId="169" fontId="6" fillId="0" borderId="44" xfId="62" applyNumberFormat="1" applyFont="1" applyFill="1" applyBorder="1" applyAlignment="1" applyProtection="1">
      <alignment horizontal="center"/>
      <protection/>
    </xf>
    <xf numFmtId="169" fontId="6" fillId="0" borderId="37" xfId="62" applyNumberFormat="1" applyFont="1" applyFill="1" applyBorder="1" applyAlignment="1" applyProtection="1">
      <alignment horizontal="center"/>
      <protection/>
    </xf>
    <xf numFmtId="0" fontId="6" fillId="0" borderId="0" xfId="62" applyFont="1" applyFill="1" applyBorder="1" applyAlignment="1" applyProtection="1">
      <alignment horizontal="center"/>
      <protection/>
    </xf>
    <xf numFmtId="166" fontId="6" fillId="0" borderId="0" xfId="62" applyNumberFormat="1" applyFont="1" applyFill="1" applyBorder="1" applyAlignment="1" applyProtection="1">
      <alignment horizontal="center"/>
      <protection/>
    </xf>
    <xf numFmtId="167" fontId="6" fillId="0" borderId="0" xfId="62" applyNumberFormat="1" applyFont="1" applyFill="1" applyBorder="1" applyAlignment="1" applyProtection="1">
      <alignment horizontal="center"/>
      <protection/>
    </xf>
    <xf numFmtId="167" fontId="6" fillId="0" borderId="0" xfId="62" applyNumberFormat="1" applyFont="1" applyBorder="1" applyAlignment="1" applyProtection="1">
      <alignment horizontal="center"/>
      <protection/>
    </xf>
    <xf numFmtId="165" fontId="6" fillId="0" borderId="0" xfId="62" applyNumberFormat="1" applyFont="1" applyBorder="1" applyAlignment="1" applyProtection="1">
      <alignment horizontal="center"/>
      <protection/>
    </xf>
    <xf numFmtId="164" fontId="6" fillId="0" borderId="0" xfId="0" applyNumberFormat="1" applyFont="1" applyBorder="1" applyAlignment="1">
      <alignment horizontal="center"/>
    </xf>
    <xf numFmtId="164" fontId="6" fillId="0" borderId="0" xfId="62" applyNumberFormat="1" applyFont="1" applyFill="1" applyBorder="1" applyAlignment="1" applyProtection="1">
      <alignment horizontal="center"/>
      <protection/>
    </xf>
    <xf numFmtId="0" fontId="6" fillId="0" borderId="54" xfId="62" applyFont="1" applyBorder="1" applyAlignment="1" applyProtection="1">
      <alignment horizontal="center"/>
      <protection/>
    </xf>
    <xf numFmtId="0" fontId="6" fillId="0" borderId="13" xfId="62" applyFont="1" applyBorder="1" applyAlignment="1" applyProtection="1">
      <alignment horizontal="centerContinuous"/>
      <protection/>
    </xf>
    <xf numFmtId="0" fontId="6" fillId="0" borderId="12" xfId="62" applyFont="1" applyBorder="1" applyAlignment="1" applyProtection="1" quotePrefix="1">
      <alignment horizontal="centerContinuous"/>
      <protection/>
    </xf>
    <xf numFmtId="0" fontId="6" fillId="0" borderId="21" xfId="62" applyFont="1" applyBorder="1" applyAlignment="1" applyProtection="1">
      <alignment horizontal="centerContinuous"/>
      <protection/>
    </xf>
    <xf numFmtId="0" fontId="6" fillId="0" borderId="23" xfId="62" applyFont="1" applyBorder="1" applyAlignment="1" applyProtection="1" quotePrefix="1">
      <alignment horizontal="centerContinuous"/>
      <protection/>
    </xf>
    <xf numFmtId="0" fontId="0" fillId="0" borderId="30" xfId="0" applyBorder="1" applyAlignment="1">
      <alignment horizontal="centerContinuous"/>
    </xf>
    <xf numFmtId="0" fontId="0" fillId="0" borderId="18" xfId="0" applyBorder="1" applyAlignment="1">
      <alignment horizontal="centerContinuous"/>
    </xf>
    <xf numFmtId="0" fontId="0" fillId="0" borderId="19" xfId="0" applyBorder="1" applyAlignment="1">
      <alignment horizontal="centerContinuous"/>
    </xf>
    <xf numFmtId="0" fontId="0" fillId="0" borderId="13" xfId="0" applyBorder="1" applyAlignment="1">
      <alignment horizontal="centerContinuous"/>
    </xf>
    <xf numFmtId="164" fontId="6" fillId="0" borderId="23" xfId="62" applyNumberFormat="1" applyFont="1" applyBorder="1" applyAlignment="1" applyProtection="1">
      <alignment horizontal="centerContinuous"/>
      <protection/>
    </xf>
    <xf numFmtId="0" fontId="6" fillId="0" borderId="14" xfId="62" applyFont="1" applyFill="1" applyBorder="1" applyAlignment="1" applyProtection="1">
      <alignment horizontal="center"/>
      <protection/>
    </xf>
    <xf numFmtId="164" fontId="6" fillId="0" borderId="0" xfId="62" applyNumberFormat="1" applyFont="1" applyBorder="1" applyAlignment="1" applyProtection="1">
      <alignment horizontal="centerContinuous"/>
      <protection/>
    </xf>
    <xf numFmtId="0" fontId="10" fillId="0" borderId="0" xfId="62" applyFont="1" applyFill="1" applyBorder="1" applyAlignment="1" applyProtection="1">
      <alignment/>
      <protection/>
    </xf>
    <xf numFmtId="0" fontId="10" fillId="0" borderId="0" xfId="0" applyFont="1" applyAlignment="1">
      <alignment/>
    </xf>
    <xf numFmtId="0" fontId="6" fillId="0" borderId="0" xfId="0" applyFont="1" applyBorder="1" applyAlignment="1" applyProtection="1">
      <alignment/>
      <protection locked="0"/>
    </xf>
    <xf numFmtId="0" fontId="6" fillId="0" borderId="0" xfId="62" applyFont="1" applyBorder="1" applyAlignment="1" applyProtection="1">
      <alignment/>
      <protection locked="0"/>
    </xf>
    <xf numFmtId="164" fontId="6" fillId="0" borderId="0" xfId="62" applyNumberFormat="1" applyFont="1" applyBorder="1" applyAlignment="1" applyProtection="1">
      <alignment/>
      <protection locked="0"/>
    </xf>
    <xf numFmtId="164" fontId="6" fillId="0" borderId="0" xfId="0" applyNumberFormat="1" applyFont="1" applyBorder="1" applyAlignment="1" applyProtection="1">
      <alignment/>
      <protection locked="0"/>
    </xf>
    <xf numFmtId="1" fontId="6" fillId="0" borderId="0" xfId="0" applyNumberFormat="1" applyFont="1" applyAlignment="1">
      <alignment/>
    </xf>
    <xf numFmtId="0" fontId="6" fillId="0" borderId="0" xfId="62" applyNumberFormat="1" applyFont="1" applyAlignment="1" applyProtection="1">
      <alignment horizontal="centerContinuous"/>
      <protection/>
    </xf>
    <xf numFmtId="0" fontId="0" fillId="0" borderId="0" xfId="62" applyNumberFormat="1" applyFont="1">
      <alignment/>
      <protection/>
    </xf>
    <xf numFmtId="0" fontId="0" fillId="0" borderId="0" xfId="0" applyNumberFormat="1" applyAlignment="1">
      <alignment horizontal="center"/>
    </xf>
    <xf numFmtId="0" fontId="0" fillId="0" borderId="0" xfId="0" applyNumberFormat="1" applyAlignment="1" quotePrefix="1">
      <alignment horizontal="center"/>
    </xf>
    <xf numFmtId="0" fontId="28" fillId="0" borderId="0" xfId="0" applyNumberFormat="1" applyFont="1" applyFill="1" applyBorder="1" applyAlignment="1" applyProtection="1">
      <alignment horizontal="center"/>
      <protection/>
    </xf>
    <xf numFmtId="169" fontId="6" fillId="0" borderId="0" xfId="0" applyNumberFormat="1" applyFont="1" applyAlignment="1">
      <alignment/>
    </xf>
    <xf numFmtId="0" fontId="0" fillId="33" borderId="29" xfId="61" applyFont="1" applyFill="1" applyBorder="1">
      <alignment/>
      <protection/>
    </xf>
    <xf numFmtId="0" fontId="0" fillId="33" borderId="21" xfId="61" applyFont="1" applyFill="1" applyBorder="1">
      <alignment/>
      <protection/>
    </xf>
    <xf numFmtId="17" fontId="2" fillId="33" borderId="18" xfId="61" applyNumberFormat="1" applyFont="1" applyFill="1" applyBorder="1" applyAlignment="1" quotePrefix="1">
      <alignment horizontal="right"/>
      <protection/>
    </xf>
    <xf numFmtId="0" fontId="0" fillId="0" borderId="0" xfId="61" applyFont="1">
      <alignment/>
      <protection/>
    </xf>
    <xf numFmtId="0" fontId="8" fillId="33" borderId="22" xfId="61" applyFont="1" applyFill="1" applyBorder="1" applyAlignment="1">
      <alignment horizontal="centerContinuous"/>
      <protection/>
    </xf>
    <xf numFmtId="0" fontId="6" fillId="33" borderId="0" xfId="61" applyFont="1" applyFill="1" applyBorder="1" applyAlignment="1">
      <alignment horizontal="centerContinuous"/>
      <protection/>
    </xf>
    <xf numFmtId="0" fontId="6" fillId="33" borderId="30" xfId="61" applyFont="1" applyFill="1" applyBorder="1" applyAlignment="1">
      <alignment horizontal="centerContinuous"/>
      <protection/>
    </xf>
    <xf numFmtId="0" fontId="6" fillId="0" borderId="0" xfId="61" applyFont="1">
      <alignment/>
      <protection/>
    </xf>
    <xf numFmtId="0" fontId="6" fillId="33" borderId="28" xfId="61" applyFont="1" applyFill="1" applyBorder="1">
      <alignment/>
      <protection/>
    </xf>
    <xf numFmtId="0" fontId="6" fillId="33" borderId="23" xfId="61" applyFont="1" applyFill="1" applyBorder="1">
      <alignment/>
      <protection/>
    </xf>
    <xf numFmtId="0" fontId="6" fillId="33" borderId="19" xfId="61" applyFont="1" applyFill="1" applyBorder="1">
      <alignment/>
      <protection/>
    </xf>
    <xf numFmtId="0" fontId="12" fillId="0" borderId="0" xfId="61" applyFont="1" applyAlignment="1">
      <alignment horizontal="centerContinuous"/>
      <protection/>
    </xf>
    <xf numFmtId="0" fontId="6" fillId="0" borderId="0" xfId="61" applyFont="1" applyAlignment="1">
      <alignment horizontal="centerContinuous"/>
      <protection/>
    </xf>
    <xf numFmtId="0" fontId="0" fillId="0" borderId="0" xfId="61" applyFont="1" applyAlignment="1">
      <alignment horizontal="centerContinuous"/>
      <protection/>
    </xf>
    <xf numFmtId="0" fontId="9" fillId="0" borderId="0" xfId="61" applyFont="1">
      <alignment/>
      <protection/>
    </xf>
    <xf numFmtId="0" fontId="6" fillId="0" borderId="0" xfId="61" applyFont="1" applyAlignment="1">
      <alignment horizontal="left"/>
      <protection/>
    </xf>
    <xf numFmtId="0" fontId="6" fillId="0" borderId="0" xfId="61" applyFont="1" applyFill="1">
      <alignment/>
      <protection/>
    </xf>
    <xf numFmtId="0" fontId="6" fillId="0" borderId="0" xfId="61" applyFont="1" applyFill="1" applyProtection="1">
      <alignment/>
      <protection locked="0"/>
    </xf>
    <xf numFmtId="0" fontId="10" fillId="34" borderId="31" xfId="0" applyFont="1" applyFill="1" applyBorder="1" applyAlignment="1" applyProtection="1">
      <alignment horizontal="centerContinuous"/>
      <protection/>
    </xf>
    <xf numFmtId="0" fontId="6" fillId="34" borderId="33" xfId="0" applyFont="1" applyFill="1" applyBorder="1" applyAlignment="1">
      <alignment horizontal="centerContinuous"/>
    </xf>
    <xf numFmtId="0" fontId="10" fillId="34" borderId="33" xfId="0" applyFont="1" applyFill="1" applyBorder="1" applyAlignment="1" applyProtection="1">
      <alignment horizontal="centerContinuous"/>
      <protection/>
    </xf>
    <xf numFmtId="0" fontId="10" fillId="34" borderId="33" xfId="61" applyFont="1" applyFill="1" applyBorder="1" applyAlignment="1" applyProtection="1">
      <alignment horizontal="centerContinuous"/>
      <protection/>
    </xf>
    <xf numFmtId="0" fontId="10" fillId="34" borderId="27" xfId="0" applyFont="1" applyFill="1" applyBorder="1" applyAlignment="1" applyProtection="1">
      <alignment horizontal="centerContinuous"/>
      <protection/>
    </xf>
    <xf numFmtId="0" fontId="6" fillId="0" borderId="43" xfId="0" applyFont="1" applyBorder="1" applyAlignment="1">
      <alignment/>
    </xf>
    <xf numFmtId="0" fontId="6" fillId="0" borderId="20" xfId="0" applyFont="1" applyBorder="1" applyAlignment="1">
      <alignment/>
    </xf>
    <xf numFmtId="0" fontId="6" fillId="0" borderId="14" xfId="0" applyFont="1" applyBorder="1" applyAlignment="1">
      <alignment/>
    </xf>
    <xf numFmtId="0" fontId="6" fillId="34" borderId="14" xfId="0" applyFont="1" applyFill="1" applyBorder="1" applyAlignment="1" applyProtection="1">
      <alignment horizontal="center"/>
      <protection locked="0"/>
    </xf>
    <xf numFmtId="0" fontId="6" fillId="34" borderId="44" xfId="0" applyFont="1" applyFill="1" applyBorder="1" applyAlignment="1" applyProtection="1">
      <alignment horizontal="center"/>
      <protection locked="0"/>
    </xf>
    <xf numFmtId="0" fontId="6" fillId="0" borderId="0" xfId="0" applyFont="1" applyFill="1" applyBorder="1" applyAlignment="1" applyProtection="1">
      <alignment/>
      <protection/>
    </xf>
    <xf numFmtId="0" fontId="10" fillId="0" borderId="29" xfId="0" applyFont="1" applyBorder="1" applyAlignment="1">
      <alignment horizontal="centerContinuous"/>
    </xf>
    <xf numFmtId="0" fontId="6" fillId="0" borderId="21" xfId="0" applyFont="1" applyBorder="1" applyAlignment="1">
      <alignment horizontal="centerContinuous"/>
    </xf>
    <xf numFmtId="0" fontId="6" fillId="0" borderId="18" xfId="0" applyFont="1" applyBorder="1" applyAlignment="1">
      <alignment horizontal="centerContinuous"/>
    </xf>
    <xf numFmtId="0" fontId="10" fillId="0" borderId="55" xfId="61" applyFont="1" applyBorder="1" applyAlignment="1">
      <alignment horizontal="center"/>
      <protection/>
    </xf>
    <xf numFmtId="0" fontId="10" fillId="0" borderId="43" xfId="61" applyFont="1" applyBorder="1" applyAlignment="1">
      <alignment horizontal="centerContinuous"/>
      <protection/>
    </xf>
    <xf numFmtId="0" fontId="0" fillId="0" borderId="44" xfId="0" applyBorder="1" applyAlignment="1">
      <alignment horizontal="centerContinuous"/>
    </xf>
    <xf numFmtId="0" fontId="6" fillId="0" borderId="24" xfId="0" applyFont="1" applyBorder="1" applyAlignment="1">
      <alignment/>
    </xf>
    <xf numFmtId="0" fontId="6" fillId="0" borderId="35" xfId="0" applyFont="1" applyBorder="1" applyAlignment="1">
      <alignment/>
    </xf>
    <xf numFmtId="0" fontId="6" fillId="0" borderId="10" xfId="0" applyFont="1" applyBorder="1" applyAlignment="1">
      <alignment/>
    </xf>
    <xf numFmtId="1" fontId="6" fillId="0" borderId="10" xfId="0" applyNumberFormat="1" applyFont="1" applyBorder="1" applyAlignment="1">
      <alignment horizontal="center"/>
    </xf>
    <xf numFmtId="1" fontId="6" fillId="0" borderId="37" xfId="0" applyNumberFormat="1" applyFont="1" applyBorder="1" applyAlignment="1">
      <alignment horizontal="center"/>
    </xf>
    <xf numFmtId="1" fontId="6" fillId="0" borderId="0" xfId="0" applyNumberFormat="1" applyFont="1" applyFill="1" applyBorder="1" applyAlignment="1" applyProtection="1">
      <alignment/>
      <protection/>
    </xf>
    <xf numFmtId="0" fontId="10" fillId="0" borderId="22" xfId="0" applyFont="1" applyBorder="1" applyAlignment="1">
      <alignment horizontal="centerContinuous"/>
    </xf>
    <xf numFmtId="0" fontId="6" fillId="0" borderId="0" xfId="0" applyFont="1" applyBorder="1" applyAlignment="1">
      <alignment horizontal="centerContinuous"/>
    </xf>
    <xf numFmtId="0" fontId="6" fillId="0" borderId="30" xfId="0" applyFont="1" applyBorder="1" applyAlignment="1">
      <alignment horizontal="centerContinuous"/>
    </xf>
    <xf numFmtId="0" fontId="0" fillId="0" borderId="0" xfId="0" applyFont="1" applyFill="1" applyBorder="1" applyAlignment="1" applyProtection="1">
      <alignment/>
      <protection/>
    </xf>
    <xf numFmtId="0" fontId="0" fillId="0" borderId="20" xfId="0" applyBorder="1" applyAlignment="1">
      <alignment horizontal="centerContinuous"/>
    </xf>
    <xf numFmtId="0" fontId="6" fillId="0" borderId="24" xfId="61" applyFont="1" applyBorder="1" applyProtection="1">
      <alignment/>
      <protection/>
    </xf>
    <xf numFmtId="0" fontId="6" fillId="0" borderId="10" xfId="61" applyFont="1" applyFill="1" applyBorder="1" applyAlignment="1" applyProtection="1">
      <alignment/>
      <protection/>
    </xf>
    <xf numFmtId="164" fontId="6" fillId="34" borderId="10" xfId="61" applyNumberFormat="1" applyFont="1" applyFill="1" applyBorder="1" applyAlignment="1" applyProtection="1">
      <alignment horizontal="center"/>
      <protection locked="0"/>
    </xf>
    <xf numFmtId="164" fontId="6" fillId="34" borderId="37" xfId="61" applyNumberFormat="1" applyFont="1" applyFill="1" applyBorder="1" applyAlignment="1" applyProtection="1">
      <alignment horizontal="center"/>
      <protection locked="0"/>
    </xf>
    <xf numFmtId="164" fontId="6" fillId="0" borderId="0" xfId="61" applyNumberFormat="1" applyFont="1" applyFill="1" applyBorder="1" applyAlignment="1" applyProtection="1">
      <alignment/>
      <protection/>
    </xf>
    <xf numFmtId="0" fontId="10" fillId="0" borderId="28" xfId="0" applyFont="1" applyBorder="1" applyAlignment="1">
      <alignment horizontal="centerContinuous"/>
    </xf>
    <xf numFmtId="0" fontId="6" fillId="0" borderId="23" xfId="0" applyFont="1" applyBorder="1" applyAlignment="1">
      <alignment horizontal="centerContinuous"/>
    </xf>
    <xf numFmtId="0" fontId="6" fillId="0" borderId="19" xfId="0" applyFont="1" applyBorder="1" applyAlignment="1">
      <alignment horizontal="centerContinuous"/>
    </xf>
    <xf numFmtId="0" fontId="0" fillId="0" borderId="0" xfId="0" applyFill="1" applyBorder="1" applyAlignment="1">
      <alignment/>
    </xf>
    <xf numFmtId="0" fontId="6" fillId="0" borderId="10" xfId="0" applyFont="1" applyFill="1" applyBorder="1" applyAlignment="1" applyProtection="1">
      <alignment vertical="center"/>
      <protection/>
    </xf>
    <xf numFmtId="0" fontId="6" fillId="0" borderId="0" xfId="61" applyFont="1" applyFill="1" applyBorder="1" applyAlignment="1">
      <alignment/>
      <protection/>
    </xf>
    <xf numFmtId="0" fontId="13" fillId="0" borderId="10" xfId="61" applyFont="1" applyFill="1" applyBorder="1" applyAlignment="1" applyProtection="1">
      <alignment/>
      <protection/>
    </xf>
    <xf numFmtId="0" fontId="10" fillId="0" borderId="31" xfId="0" applyFont="1" applyFill="1" applyBorder="1" applyAlignment="1" applyProtection="1">
      <alignment/>
      <protection/>
    </xf>
    <xf numFmtId="0" fontId="10" fillId="0" borderId="32" xfId="0" applyFont="1" applyFill="1" applyBorder="1" applyAlignment="1" applyProtection="1">
      <alignment/>
      <protection/>
    </xf>
    <xf numFmtId="0" fontId="10" fillId="0" borderId="33" xfId="0" applyFont="1" applyBorder="1" applyAlignment="1">
      <alignment horizontal="centerContinuous"/>
    </xf>
    <xf numFmtId="0" fontId="10" fillId="0" borderId="32" xfId="0" applyFont="1" applyFill="1" applyBorder="1" applyAlignment="1" applyProtection="1">
      <alignment horizontal="centerContinuous"/>
      <protection/>
    </xf>
    <xf numFmtId="0" fontId="10" fillId="0" borderId="33" xfId="0" applyFont="1" applyFill="1" applyBorder="1" applyAlignment="1" applyProtection="1">
      <alignment horizontal="centerContinuous"/>
      <protection/>
    </xf>
    <xf numFmtId="0" fontId="10" fillId="0" borderId="33" xfId="0" applyFont="1" applyFill="1" applyBorder="1" applyAlignment="1" applyProtection="1">
      <alignment/>
      <protection/>
    </xf>
    <xf numFmtId="0" fontId="10" fillId="0" borderId="33" xfId="0" applyFont="1" applyFill="1" applyBorder="1" applyAlignment="1" applyProtection="1">
      <alignment horizontal="center"/>
      <protection/>
    </xf>
    <xf numFmtId="0" fontId="10" fillId="0" borderId="27" xfId="0" applyFont="1" applyFill="1" applyBorder="1" applyAlignment="1" applyProtection="1">
      <alignment/>
      <protection/>
    </xf>
    <xf numFmtId="0" fontId="6" fillId="0" borderId="10" xfId="0" applyFont="1" applyFill="1" applyBorder="1" applyAlignment="1" applyProtection="1">
      <alignment/>
      <protection/>
    </xf>
    <xf numFmtId="164" fontId="6" fillId="0" borderId="10" xfId="61" applyNumberFormat="1" applyFont="1" applyBorder="1" applyAlignment="1" applyProtection="1">
      <alignment horizontal="center"/>
      <protection/>
    </xf>
    <xf numFmtId="164" fontId="6" fillId="0" borderId="37" xfId="61" applyNumberFormat="1" applyFont="1" applyBorder="1" applyAlignment="1" applyProtection="1">
      <alignment horizontal="center"/>
      <protection/>
    </xf>
    <xf numFmtId="0" fontId="6" fillId="0" borderId="43" xfId="0" applyFont="1" applyFill="1" applyBorder="1" applyAlignment="1" applyProtection="1">
      <alignment/>
      <protection/>
    </xf>
    <xf numFmtId="14" fontId="6" fillId="0" borderId="14" xfId="0" applyNumberFormat="1" applyFont="1" applyFill="1" applyBorder="1" applyAlignment="1" applyProtection="1">
      <alignment/>
      <protection/>
    </xf>
    <xf numFmtId="0" fontId="6" fillId="0" borderId="10" xfId="61" applyFont="1" applyFill="1" applyBorder="1" applyAlignment="1" applyProtection="1">
      <alignment vertical="center"/>
      <protection/>
    </xf>
    <xf numFmtId="165" fontId="6" fillId="0" borderId="10" xfId="61" applyNumberFormat="1" applyFont="1" applyBorder="1" applyAlignment="1" applyProtection="1">
      <alignment horizontal="center"/>
      <protection/>
    </xf>
    <xf numFmtId="165" fontId="6" fillId="0" borderId="37" xfId="61" applyNumberFormat="1" applyFont="1" applyBorder="1" applyAlignment="1" applyProtection="1">
      <alignment horizontal="center"/>
      <protection/>
    </xf>
    <xf numFmtId="165" fontId="6" fillId="0" borderId="0" xfId="61" applyNumberFormat="1" applyFont="1" applyFill="1" applyBorder="1" applyAlignment="1" applyProtection="1">
      <alignment/>
      <protection/>
    </xf>
    <xf numFmtId="0" fontId="6" fillId="0" borderId="24" xfId="0" applyFont="1" applyFill="1" applyBorder="1" applyAlignment="1" applyProtection="1">
      <alignment/>
      <protection/>
    </xf>
    <xf numFmtId="14" fontId="6" fillId="0" borderId="10" xfId="61" applyNumberFormat="1" applyFont="1" applyFill="1" applyBorder="1" applyAlignment="1" applyProtection="1">
      <alignment/>
      <protection/>
    </xf>
    <xf numFmtId="0" fontId="9" fillId="0" borderId="10" xfId="61" applyFont="1" applyBorder="1">
      <alignment/>
      <protection/>
    </xf>
    <xf numFmtId="165" fontId="6" fillId="34" borderId="10" xfId="61" applyNumberFormat="1" applyFont="1" applyFill="1" applyBorder="1" applyAlignment="1" applyProtection="1">
      <alignment horizontal="center"/>
      <protection locked="0"/>
    </xf>
    <xf numFmtId="14" fontId="6" fillId="0" borderId="10" xfId="0" applyNumberFormat="1" applyFont="1" applyFill="1" applyBorder="1" applyAlignment="1" applyProtection="1">
      <alignment/>
      <protection/>
    </xf>
    <xf numFmtId="0" fontId="6" fillId="0" borderId="24" xfId="61" applyFont="1" applyFill="1" applyBorder="1" applyAlignment="1" applyProtection="1">
      <alignment/>
      <protection/>
    </xf>
    <xf numFmtId="164" fontId="6" fillId="0" borderId="56" xfId="0" applyNumberFormat="1" applyFont="1" applyBorder="1" applyAlignment="1">
      <alignment horizontal="right"/>
    </xf>
    <xf numFmtId="0" fontId="6" fillId="0" borderId="37" xfId="0" applyFont="1" applyBorder="1" applyAlignment="1">
      <alignment horizontal="left"/>
    </xf>
    <xf numFmtId="1" fontId="6" fillId="0" borderId="35" xfId="62" applyNumberFormat="1" applyFont="1" applyBorder="1" applyAlignment="1" applyProtection="1">
      <alignment horizontal="centerContinuous"/>
      <protection/>
    </xf>
    <xf numFmtId="0" fontId="6" fillId="0" borderId="37" xfId="0" applyFont="1" applyBorder="1" applyAlignment="1">
      <alignment horizontal="centerContinuous"/>
    </xf>
    <xf numFmtId="0" fontId="6" fillId="0" borderId="28" xfId="0" applyFont="1" applyFill="1" applyBorder="1" applyAlignment="1" applyProtection="1">
      <alignment/>
      <protection/>
    </xf>
    <xf numFmtId="14" fontId="6" fillId="0" borderId="12" xfId="0" applyNumberFormat="1" applyFont="1" applyFill="1" applyBorder="1" applyAlignment="1" applyProtection="1">
      <alignment/>
      <protection/>
    </xf>
    <xf numFmtId="0" fontId="6" fillId="0" borderId="28" xfId="61" applyFont="1" applyBorder="1">
      <alignment/>
      <protection/>
    </xf>
    <xf numFmtId="0" fontId="6" fillId="0" borderId="23" xfId="61" applyFont="1" applyBorder="1">
      <alignment/>
      <protection/>
    </xf>
    <xf numFmtId="0" fontId="6" fillId="0" borderId="12" xfId="61" applyFont="1" applyBorder="1">
      <alignment/>
      <protection/>
    </xf>
    <xf numFmtId="1" fontId="6" fillId="0" borderId="23" xfId="0" applyNumberFormat="1" applyFont="1" applyBorder="1" applyAlignment="1">
      <alignment horizontal="centerContinuous"/>
    </xf>
    <xf numFmtId="0" fontId="6" fillId="0" borderId="19" xfId="61" applyFont="1" applyBorder="1" applyAlignment="1">
      <alignment horizontal="centerContinuous"/>
      <protection/>
    </xf>
    <xf numFmtId="0" fontId="6" fillId="0" borderId="0" xfId="61" applyFont="1" applyFill="1" applyBorder="1" applyAlignment="1" applyProtection="1">
      <alignment/>
      <protection/>
    </xf>
    <xf numFmtId="0" fontId="6" fillId="0" borderId="57" xfId="61" applyFont="1" applyBorder="1" applyProtection="1">
      <alignment/>
      <protection/>
    </xf>
    <xf numFmtId="0" fontId="6" fillId="34" borderId="40" xfId="61" applyFont="1" applyFill="1" applyBorder="1" applyAlignment="1" applyProtection="1">
      <alignment horizontal="center"/>
      <protection locked="0"/>
    </xf>
    <xf numFmtId="0" fontId="6" fillId="34" borderId="32" xfId="61" applyFont="1" applyFill="1" applyBorder="1" applyAlignment="1" applyProtection="1">
      <alignment horizontal="center"/>
      <protection locked="0"/>
    </xf>
    <xf numFmtId="0" fontId="6" fillId="34" borderId="27" xfId="61" applyFont="1" applyFill="1" applyBorder="1" applyAlignment="1" applyProtection="1">
      <alignment horizontal="center"/>
      <protection locked="0"/>
    </xf>
    <xf numFmtId="0" fontId="10" fillId="0" borderId="57" xfId="61" applyFont="1" applyFill="1" applyBorder="1" applyAlignment="1" applyProtection="1">
      <alignment horizontal="center"/>
      <protection/>
    </xf>
    <xf numFmtId="0" fontId="10" fillId="0" borderId="57" xfId="61" applyFont="1" applyFill="1" applyBorder="1" applyAlignment="1" applyProtection="1">
      <alignment horizontal="center"/>
      <protection/>
    </xf>
    <xf numFmtId="0" fontId="6" fillId="0" borderId="58" xfId="61" applyFont="1" applyBorder="1" applyProtection="1">
      <alignment/>
      <protection/>
    </xf>
    <xf numFmtId="164" fontId="6" fillId="34" borderId="15" xfId="61" applyNumberFormat="1" applyFont="1" applyFill="1" applyBorder="1" applyAlignment="1" applyProtection="1">
      <alignment horizontal="center"/>
      <protection locked="0"/>
    </xf>
    <xf numFmtId="164" fontId="6" fillId="0" borderId="13" xfId="61" applyNumberFormat="1" applyFont="1" applyBorder="1" applyAlignment="1" applyProtection="1">
      <alignment horizontal="center"/>
      <protection/>
    </xf>
    <xf numFmtId="164" fontId="6" fillId="0" borderId="18" xfId="61" applyNumberFormat="1" applyFont="1" applyBorder="1" applyAlignment="1" applyProtection="1">
      <alignment horizontal="center"/>
      <protection/>
    </xf>
    <xf numFmtId="164" fontId="10" fillId="0" borderId="59" xfId="61" applyNumberFormat="1" applyFont="1" applyBorder="1" applyAlignment="1" applyProtection="1">
      <alignment horizontal="center"/>
      <protection/>
    </xf>
    <xf numFmtId="164" fontId="6" fillId="0" borderId="15" xfId="61" applyNumberFormat="1" applyFont="1" applyBorder="1" applyAlignment="1" applyProtection="1">
      <alignment horizontal="center"/>
      <protection locked="0"/>
    </xf>
    <xf numFmtId="164" fontId="6" fillId="34" borderId="39" xfId="61" applyNumberFormat="1" applyFont="1" applyFill="1" applyBorder="1" applyAlignment="1" applyProtection="1">
      <alignment horizontal="center"/>
      <protection locked="0"/>
    </xf>
    <xf numFmtId="164" fontId="6" fillId="34" borderId="60" xfId="61" applyNumberFormat="1" applyFont="1" applyFill="1" applyBorder="1" applyAlignment="1" applyProtection="1">
      <alignment horizontal="center"/>
      <protection locked="0"/>
    </xf>
    <xf numFmtId="164" fontId="6" fillId="34" borderId="61" xfId="61" applyNumberFormat="1" applyFont="1" applyFill="1" applyBorder="1" applyAlignment="1" applyProtection="1">
      <alignment horizontal="center"/>
      <protection locked="0"/>
    </xf>
    <xf numFmtId="2" fontId="10" fillId="0" borderId="59" xfId="61" applyNumberFormat="1" applyFont="1" applyFill="1" applyBorder="1" applyAlignment="1" applyProtection="1">
      <alignment horizontal="center"/>
      <protection/>
    </xf>
    <xf numFmtId="164" fontId="10" fillId="0" borderId="59" xfId="61" applyNumberFormat="1" applyFont="1" applyFill="1" applyBorder="1" applyAlignment="1" applyProtection="1">
      <alignment horizontal="center"/>
      <protection/>
    </xf>
    <xf numFmtId="164" fontId="6" fillId="0" borderId="39" xfId="61" applyNumberFormat="1" applyFont="1" applyBorder="1" applyAlignment="1" applyProtection="1">
      <alignment horizontal="center"/>
      <protection/>
    </xf>
    <xf numFmtId="164" fontId="6" fillId="0" borderId="60" xfId="61" applyNumberFormat="1" applyFont="1" applyBorder="1" applyAlignment="1" applyProtection="1">
      <alignment horizontal="center"/>
      <protection/>
    </xf>
    <xf numFmtId="164" fontId="6" fillId="0" borderId="61" xfId="61" applyNumberFormat="1" applyFont="1" applyBorder="1" applyAlignment="1" applyProtection="1">
      <alignment horizontal="center"/>
      <protection/>
    </xf>
    <xf numFmtId="165" fontId="6" fillId="0" borderId="39" xfId="61" applyNumberFormat="1" applyFont="1" applyBorder="1" applyAlignment="1" applyProtection="1">
      <alignment horizontal="center"/>
      <protection/>
    </xf>
    <xf numFmtId="165" fontId="6" fillId="0" borderId="60" xfId="61" applyNumberFormat="1" applyFont="1" applyBorder="1" applyAlignment="1" applyProtection="1">
      <alignment horizontal="center"/>
      <protection/>
    </xf>
    <xf numFmtId="165" fontId="6" fillId="0" borderId="61" xfId="61" applyNumberFormat="1" applyFont="1" applyBorder="1" applyAlignment="1" applyProtection="1">
      <alignment horizontal="center"/>
      <protection/>
    </xf>
    <xf numFmtId="165" fontId="10" fillId="0" borderId="59" xfId="61" applyNumberFormat="1" applyFont="1" applyBorder="1" applyAlignment="1" applyProtection="1">
      <alignment horizontal="center"/>
      <protection/>
    </xf>
    <xf numFmtId="165" fontId="6" fillId="34" borderId="39" xfId="61" applyNumberFormat="1" applyFont="1" applyFill="1" applyBorder="1" applyAlignment="1" applyProtection="1">
      <alignment horizontal="center"/>
      <protection locked="0"/>
    </xf>
    <xf numFmtId="1" fontId="6" fillId="34" borderId="17" xfId="61" applyNumberFormat="1" applyFont="1" applyFill="1" applyBorder="1" applyAlignment="1" applyProtection="1">
      <alignment horizontal="center"/>
      <protection locked="0"/>
    </xf>
    <xf numFmtId="1" fontId="6" fillId="34" borderId="62" xfId="61" applyNumberFormat="1" applyFont="1" applyFill="1" applyBorder="1" applyAlignment="1" applyProtection="1">
      <alignment horizontal="center"/>
      <protection locked="0"/>
    </xf>
    <xf numFmtId="1" fontId="6" fillId="34" borderId="63" xfId="61" applyNumberFormat="1" applyFont="1" applyFill="1" applyBorder="1" applyAlignment="1" applyProtection="1">
      <alignment horizontal="center"/>
      <protection locked="0"/>
    </xf>
    <xf numFmtId="1" fontId="10" fillId="0" borderId="59" xfId="61" applyNumberFormat="1" applyFont="1" applyFill="1" applyBorder="1" applyAlignment="1" applyProtection="1">
      <alignment horizontal="center"/>
      <protection/>
    </xf>
    <xf numFmtId="0" fontId="2" fillId="0" borderId="33" xfId="61" applyFont="1" applyBorder="1" applyProtection="1">
      <alignment/>
      <protection/>
    </xf>
    <xf numFmtId="0" fontId="6" fillId="0" borderId="33" xfId="61" applyFont="1" applyBorder="1" applyProtection="1">
      <alignment/>
      <protection/>
    </xf>
    <xf numFmtId="0" fontId="6" fillId="0" borderId="62" xfId="61" applyFont="1" applyBorder="1" applyAlignment="1" applyProtection="1">
      <alignment horizontal="center"/>
      <protection/>
    </xf>
    <xf numFmtId="0" fontId="10" fillId="0" borderId="64" xfId="61" applyFont="1" applyBorder="1" applyAlignment="1" applyProtection="1">
      <alignment horizontal="center"/>
      <protection/>
    </xf>
    <xf numFmtId="0" fontId="6" fillId="0" borderId="65" xfId="61" applyFont="1" applyBorder="1" applyAlignment="1" applyProtection="1">
      <alignment horizontal="center"/>
      <protection/>
    </xf>
    <xf numFmtId="0" fontId="6" fillId="0" borderId="66" xfId="61" applyFont="1" applyBorder="1" applyAlignment="1" applyProtection="1">
      <alignment horizontal="center"/>
      <protection/>
    </xf>
    <xf numFmtId="0" fontId="6" fillId="0" borderId="59" xfId="61" applyFont="1" applyBorder="1" applyProtection="1">
      <alignment/>
      <protection/>
    </xf>
    <xf numFmtId="169" fontId="6" fillId="0" borderId="33" xfId="61" applyNumberFormat="1" applyFont="1" applyBorder="1" applyAlignment="1" applyProtection="1">
      <alignment horizontal="center"/>
      <protection/>
    </xf>
    <xf numFmtId="164" fontId="6" fillId="0" borderId="59" xfId="61" applyNumberFormat="1" applyFont="1" applyBorder="1" applyAlignment="1" applyProtection="1">
      <alignment horizontal="center"/>
      <protection/>
    </xf>
    <xf numFmtId="164" fontId="10" fillId="0" borderId="67" xfId="61" applyNumberFormat="1" applyFont="1" applyBorder="1" applyAlignment="1" applyProtection="1">
      <alignment horizontal="center"/>
      <protection/>
    </xf>
    <xf numFmtId="1" fontId="6" fillId="34" borderId="60" xfId="61" applyNumberFormat="1" applyFont="1" applyFill="1" applyBorder="1" applyAlignment="1" applyProtection="1">
      <alignment horizontal="center"/>
      <protection locked="0"/>
    </xf>
    <xf numFmtId="0" fontId="6" fillId="0" borderId="64" xfId="61" applyFont="1" applyBorder="1" applyProtection="1">
      <alignment/>
      <protection/>
    </xf>
    <xf numFmtId="164" fontId="6" fillId="0" borderId="62" xfId="61" applyNumberFormat="1" applyFont="1" applyBorder="1" applyAlignment="1" applyProtection="1">
      <alignment horizontal="center"/>
      <protection/>
    </xf>
    <xf numFmtId="164" fontId="10" fillId="0" borderId="64" xfId="61" applyNumberFormat="1" applyFont="1" applyBorder="1" applyAlignment="1" applyProtection="1">
      <alignment horizontal="center"/>
      <protection/>
    </xf>
    <xf numFmtId="0" fontId="6" fillId="0" borderId="0" xfId="61" applyFont="1" applyBorder="1" applyProtection="1">
      <alignment/>
      <protection/>
    </xf>
    <xf numFmtId="169" fontId="6" fillId="0" borderId="0" xfId="61" applyNumberFormat="1" applyFont="1" applyBorder="1" applyAlignment="1" applyProtection="1">
      <alignment horizontal="center"/>
      <protection/>
    </xf>
    <xf numFmtId="0" fontId="6" fillId="0" borderId="0" xfId="61" applyFont="1" applyProtection="1">
      <alignment/>
      <protection/>
    </xf>
    <xf numFmtId="0" fontId="32" fillId="0" borderId="0" xfId="61" applyFont="1" applyBorder="1" applyProtection="1">
      <alignment/>
      <protection/>
    </xf>
    <xf numFmtId="0" fontId="33" fillId="0" borderId="0" xfId="61" applyFont="1" applyBorder="1" applyProtection="1">
      <alignment/>
      <protection/>
    </xf>
    <xf numFmtId="0" fontId="33" fillId="0" borderId="0" xfId="61" applyFont="1" applyProtection="1">
      <alignment/>
      <protection/>
    </xf>
    <xf numFmtId="1" fontId="34" fillId="0" borderId="0" xfId="61" applyNumberFormat="1" applyFont="1" applyBorder="1" applyAlignment="1" applyProtection="1">
      <alignment horizontal="center"/>
      <protection/>
    </xf>
    <xf numFmtId="0" fontId="0" fillId="0" borderId="0" xfId="61" applyFont="1" applyProtection="1">
      <alignment/>
      <protection/>
    </xf>
    <xf numFmtId="0" fontId="2" fillId="0" borderId="0" xfId="61" applyFont="1" applyAlignment="1">
      <alignment horizontal="center"/>
      <protection/>
    </xf>
    <xf numFmtId="0" fontId="0" fillId="34" borderId="35" xfId="61" applyFont="1" applyFill="1" applyBorder="1" applyProtection="1">
      <alignment/>
      <protection locked="0"/>
    </xf>
    <xf numFmtId="0" fontId="0" fillId="34" borderId="35" xfId="0" applyFont="1" applyFill="1" applyBorder="1" applyAlignment="1" applyProtection="1">
      <alignment/>
      <protection locked="0"/>
    </xf>
    <xf numFmtId="169" fontId="21" fillId="0" borderId="0" xfId="56" applyNumberFormat="1" applyFont="1" applyProtection="1">
      <alignment/>
      <protection/>
    </xf>
    <xf numFmtId="0" fontId="0" fillId="0" borderId="0" xfId="0" applyNumberFormat="1" applyAlignment="1">
      <alignment/>
    </xf>
    <xf numFmtId="2" fontId="35" fillId="0" borderId="31" xfId="62" applyNumberFormat="1" applyFont="1" applyFill="1" applyBorder="1" applyAlignment="1" applyProtection="1">
      <alignment horizontal="centerContinuous"/>
      <protection/>
    </xf>
    <xf numFmtId="0" fontId="28" fillId="0" borderId="33" xfId="0" applyFont="1" applyFill="1" applyBorder="1" applyAlignment="1">
      <alignment horizontal="centerContinuous"/>
    </xf>
    <xf numFmtId="1" fontId="36" fillId="0" borderId="33" xfId="62" applyNumberFormat="1" applyFont="1" applyFill="1" applyBorder="1" applyAlignment="1" applyProtection="1">
      <alignment horizontal="centerContinuous"/>
      <protection/>
    </xf>
    <xf numFmtId="0" fontId="35" fillId="0" borderId="33" xfId="62" applyFont="1" applyFill="1" applyBorder="1" applyAlignment="1">
      <alignment horizontal="centerContinuous" vertical="center"/>
      <protection/>
    </xf>
    <xf numFmtId="0" fontId="28" fillId="0" borderId="33" xfId="62" applyFont="1" applyFill="1" applyBorder="1" applyAlignment="1">
      <alignment horizontal="centerContinuous"/>
      <protection/>
    </xf>
    <xf numFmtId="1" fontId="36" fillId="0" borderId="27" xfId="62" applyNumberFormat="1" applyFont="1" applyFill="1" applyBorder="1" applyAlignment="1" applyProtection="1">
      <alignment horizontal="centerContinuous"/>
      <protection/>
    </xf>
    <xf numFmtId="1" fontId="20" fillId="0" borderId="29" xfId="62" applyNumberFormat="1" applyFont="1" applyFill="1" applyBorder="1" applyAlignment="1" applyProtection="1">
      <alignment vertical="center"/>
      <protection/>
    </xf>
    <xf numFmtId="0" fontId="28" fillId="0" borderId="21" xfId="0" applyFont="1" applyFill="1" applyBorder="1" applyAlignment="1">
      <alignment/>
    </xf>
    <xf numFmtId="1" fontId="36" fillId="0" borderId="21" xfId="62" applyNumberFormat="1" applyFont="1" applyFill="1" applyBorder="1" applyAlignment="1" applyProtection="1">
      <alignment horizontal="left"/>
      <protection/>
    </xf>
    <xf numFmtId="165" fontId="15" fillId="0" borderId="21" xfId="62" applyNumberFormat="1" applyFont="1" applyFill="1" applyBorder="1" applyAlignment="1" applyProtection="1">
      <alignment horizontal="center"/>
      <protection locked="0"/>
    </xf>
    <xf numFmtId="0" fontId="28" fillId="0" borderId="21" xfId="62" applyFont="1" applyFill="1" applyBorder="1">
      <alignment/>
      <protection/>
    </xf>
    <xf numFmtId="2" fontId="36" fillId="0" borderId="21" xfId="62" applyNumberFormat="1" applyFont="1" applyFill="1" applyBorder="1" applyAlignment="1" applyProtection="1">
      <alignment vertical="center"/>
      <protection/>
    </xf>
    <xf numFmtId="2" fontId="15" fillId="0" borderId="18" xfId="62" applyNumberFormat="1" applyFont="1" applyFill="1" applyBorder="1" applyAlignment="1" applyProtection="1">
      <alignment vertical="center"/>
      <protection/>
    </xf>
    <xf numFmtId="1" fontId="20" fillId="0" borderId="22" xfId="62" applyNumberFormat="1" applyFont="1" applyFill="1" applyBorder="1" applyAlignment="1" applyProtection="1">
      <alignment vertical="center"/>
      <protection/>
    </xf>
    <xf numFmtId="2" fontId="15" fillId="0" borderId="0" xfId="62" applyNumberFormat="1" applyFont="1" applyFill="1" applyBorder="1" applyAlignment="1" applyProtection="1">
      <alignment horizontal="center"/>
      <protection/>
    </xf>
    <xf numFmtId="2" fontId="36" fillId="0" borderId="0" xfId="62" applyNumberFormat="1" applyFont="1" applyFill="1" applyBorder="1" applyAlignment="1" applyProtection="1">
      <alignment vertical="center"/>
      <protection/>
    </xf>
    <xf numFmtId="0" fontId="20" fillId="0" borderId="23" xfId="62" applyFont="1" applyFill="1" applyBorder="1" applyAlignment="1">
      <alignment vertical="center"/>
      <protection/>
    </xf>
    <xf numFmtId="0" fontId="28" fillId="0" borderId="23" xfId="62" applyFont="1" applyFill="1" applyBorder="1" applyAlignment="1">
      <alignment vertical="center"/>
      <protection/>
    </xf>
    <xf numFmtId="0" fontId="28" fillId="0" borderId="23"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xf>
    <xf numFmtId="0" fontId="28" fillId="0" borderId="30" xfId="0" applyFont="1" applyFill="1" applyBorder="1" applyAlignment="1">
      <alignment/>
    </xf>
    <xf numFmtId="0" fontId="28" fillId="0" borderId="28" xfId="0" applyFont="1" applyFill="1" applyBorder="1" applyAlignment="1">
      <alignment/>
    </xf>
    <xf numFmtId="0" fontId="28" fillId="0" borderId="23" xfId="62" applyFont="1" applyFill="1" applyBorder="1" applyAlignment="1">
      <alignment/>
      <protection/>
    </xf>
    <xf numFmtId="0" fontId="28" fillId="0" borderId="19" xfId="0" applyFont="1" applyFill="1" applyBorder="1" applyAlignment="1">
      <alignment/>
    </xf>
    <xf numFmtId="0" fontId="20" fillId="0" borderId="31" xfId="62" applyFont="1" applyFill="1" applyBorder="1" applyAlignment="1">
      <alignment horizontal="centerContinuous" vertical="center"/>
      <protection/>
    </xf>
    <xf numFmtId="1" fontId="20" fillId="0" borderId="33" xfId="0" applyNumberFormat="1" applyFont="1" applyFill="1" applyBorder="1" applyAlignment="1" applyProtection="1">
      <alignment horizontal="centerContinuous" vertical="center"/>
      <protection hidden="1"/>
    </xf>
    <xf numFmtId="0" fontId="28" fillId="0" borderId="27" xfId="62" applyFont="1" applyFill="1" applyBorder="1" applyAlignment="1">
      <alignment horizontal="centerContinuous" vertical="center"/>
      <protection/>
    </xf>
    <xf numFmtId="0" fontId="15" fillId="0" borderId="28" xfId="62" applyFont="1" applyFill="1" applyBorder="1" applyAlignment="1">
      <alignment vertical="center"/>
      <protection/>
    </xf>
    <xf numFmtId="0" fontId="28" fillId="0" borderId="19" xfId="62" applyFont="1" applyFill="1" applyBorder="1" applyAlignment="1">
      <alignment/>
      <protection/>
    </xf>
    <xf numFmtId="0" fontId="20" fillId="0" borderId="40" xfId="0" applyFont="1" applyFill="1" applyBorder="1" applyAlignment="1">
      <alignment horizontal="center"/>
    </xf>
    <xf numFmtId="0" fontId="20" fillId="0" borderId="68" xfId="0" applyFont="1" applyFill="1" applyBorder="1" applyAlignment="1">
      <alignment horizontal="center"/>
    </xf>
    <xf numFmtId="169" fontId="0" fillId="0" borderId="0" xfId="0" applyNumberFormat="1" applyFill="1" applyAlignment="1" applyProtection="1">
      <alignment/>
      <protection/>
    </xf>
    <xf numFmtId="169" fontId="0" fillId="0" borderId="0" xfId="0" applyNumberFormat="1" applyAlignment="1" applyProtection="1">
      <alignment/>
      <protection/>
    </xf>
    <xf numFmtId="0" fontId="2" fillId="0" borderId="44" xfId="62" applyFont="1" applyFill="1" applyBorder="1" applyAlignment="1" applyProtection="1">
      <alignment horizontal="center"/>
      <protection/>
    </xf>
    <xf numFmtId="0" fontId="2" fillId="0" borderId="37" xfId="62" applyFont="1" applyFill="1" applyBorder="1" applyAlignment="1" applyProtection="1">
      <alignment horizontal="center"/>
      <protection/>
    </xf>
    <xf numFmtId="0" fontId="2" fillId="0" borderId="19" xfId="62" applyFont="1" applyFill="1" applyBorder="1" applyAlignment="1" applyProtection="1">
      <alignment horizontal="center"/>
      <protection/>
    </xf>
    <xf numFmtId="0" fontId="6" fillId="0" borderId="0" xfId="0" applyFont="1" applyFill="1" applyAlignment="1" applyProtection="1">
      <alignment/>
      <protection/>
    </xf>
    <xf numFmtId="0" fontId="2" fillId="0" borderId="69" xfId="62" applyFont="1" applyFill="1" applyBorder="1" applyAlignment="1">
      <alignment horizontal="centerContinuous"/>
      <protection/>
    </xf>
    <xf numFmtId="0" fontId="0" fillId="0" borderId="70" xfId="62" applyFont="1" applyFill="1" applyBorder="1" applyAlignment="1">
      <alignment horizontal="centerContinuous"/>
      <protection/>
    </xf>
    <xf numFmtId="0" fontId="0" fillId="0" borderId="71" xfId="62" applyFont="1" applyFill="1" applyBorder="1" applyAlignment="1">
      <alignment horizontal="centerContinuous"/>
      <protection/>
    </xf>
    <xf numFmtId="0" fontId="10" fillId="0" borderId="31" xfId="0" applyFont="1" applyBorder="1" applyAlignment="1">
      <alignment/>
    </xf>
    <xf numFmtId="0" fontId="0" fillId="0" borderId="33" xfId="0" applyBorder="1" applyAlignment="1">
      <alignment/>
    </xf>
    <xf numFmtId="164" fontId="10" fillId="34" borderId="27" xfId="0" applyNumberFormat="1" applyFont="1" applyFill="1" applyBorder="1" applyAlignment="1" applyProtection="1">
      <alignment horizontal="center"/>
      <protection locked="0"/>
    </xf>
    <xf numFmtId="0" fontId="10" fillId="0" borderId="31" xfId="62" applyFont="1" applyFill="1" applyBorder="1" applyAlignment="1" applyProtection="1">
      <alignment/>
      <protection/>
    </xf>
    <xf numFmtId="0" fontId="2" fillId="0" borderId="33" xfId="62" applyFont="1" applyFill="1" applyBorder="1" applyAlignment="1" applyProtection="1">
      <alignment/>
      <protection/>
    </xf>
    <xf numFmtId="0" fontId="10" fillId="0" borderId="28" xfId="62" applyFont="1" applyFill="1" applyBorder="1" applyAlignment="1" applyProtection="1">
      <alignment/>
      <protection/>
    </xf>
    <xf numFmtId="0" fontId="2" fillId="0" borderId="23" xfId="62" applyFont="1" applyFill="1" applyBorder="1" applyAlignment="1" applyProtection="1">
      <alignment/>
      <protection/>
    </xf>
    <xf numFmtId="164" fontId="10" fillId="0" borderId="27" xfId="0" applyNumberFormat="1" applyFont="1" applyFill="1" applyBorder="1" applyAlignment="1" applyProtection="1">
      <alignment horizontal="center"/>
      <protection/>
    </xf>
    <xf numFmtId="0" fontId="0" fillId="0" borderId="0" xfId="62" applyFont="1" applyFill="1" applyAlignment="1" applyProtection="1">
      <alignment/>
      <protection/>
    </xf>
    <xf numFmtId="0" fontId="10" fillId="0" borderId="31" xfId="0" applyFont="1" applyFill="1" applyBorder="1" applyAlignment="1">
      <alignment horizontal="centerContinuous"/>
    </xf>
    <xf numFmtId="0" fontId="2" fillId="0" borderId="0" xfId="0" applyFont="1" applyBorder="1" applyAlignment="1">
      <alignment horizontal="center"/>
    </xf>
    <xf numFmtId="0" fontId="0" fillId="0" borderId="72" xfId="0" applyBorder="1" applyAlignment="1">
      <alignment horizontal="centerContinuous"/>
    </xf>
    <xf numFmtId="0" fontId="10" fillId="34" borderId="72" xfId="0" applyFont="1" applyFill="1" applyBorder="1" applyAlignment="1" applyProtection="1">
      <alignment horizontal="center"/>
      <protection locked="0"/>
    </xf>
    <xf numFmtId="0" fontId="0" fillId="0" borderId="35" xfId="0" applyBorder="1" applyAlignment="1">
      <alignment/>
    </xf>
    <xf numFmtId="0" fontId="0" fillId="0" borderId="37" xfId="0" applyBorder="1" applyAlignment="1">
      <alignment/>
    </xf>
    <xf numFmtId="0" fontId="6" fillId="0" borderId="28" xfId="62" applyFont="1" applyBorder="1" applyAlignment="1">
      <alignment horizontal="centerContinuous"/>
      <protection/>
    </xf>
    <xf numFmtId="0" fontId="10" fillId="34" borderId="50" xfId="0" applyNumberFormat="1" applyFont="1" applyFill="1" applyBorder="1" applyAlignment="1" applyProtection="1">
      <alignment horizontal="center"/>
      <protection locked="0"/>
    </xf>
    <xf numFmtId="0" fontId="10" fillId="0" borderId="31" xfId="62" applyFont="1" applyFill="1" applyBorder="1" applyAlignment="1" applyProtection="1">
      <alignment horizontal="centerContinuous"/>
      <protection/>
    </xf>
    <xf numFmtId="0" fontId="2" fillId="0" borderId="33" xfId="62" applyFont="1" applyFill="1" applyBorder="1" applyAlignment="1" applyProtection="1">
      <alignment horizontal="centerContinuous"/>
      <protection/>
    </xf>
    <xf numFmtId="164" fontId="10" fillId="0" borderId="33" xfId="0" applyNumberFormat="1" applyFont="1" applyFill="1" applyBorder="1" applyAlignment="1" applyProtection="1">
      <alignment horizontal="centerContinuous"/>
      <protection/>
    </xf>
    <xf numFmtId="0" fontId="10" fillId="0" borderId="33" xfId="62" applyFont="1" applyFill="1" applyBorder="1" applyAlignment="1" applyProtection="1">
      <alignment horizontal="centerContinuous"/>
      <protection/>
    </xf>
    <xf numFmtId="0" fontId="0" fillId="0" borderId="27" xfId="0" applyBorder="1" applyAlignment="1">
      <alignment horizontal="centerContinuous"/>
    </xf>
    <xf numFmtId="0" fontId="2" fillId="0" borderId="31" xfId="0" applyFont="1" applyBorder="1" applyAlignment="1">
      <alignment horizontal="centerContinuous" wrapText="1"/>
    </xf>
    <xf numFmtId="0" fontId="6" fillId="0" borderId="0" xfId="62" applyFont="1" applyFill="1" applyBorder="1" applyAlignment="1" applyProtection="1">
      <alignment/>
      <protection locked="0"/>
    </xf>
    <xf numFmtId="0" fontId="6" fillId="0" borderId="31" xfId="0" applyFont="1" applyBorder="1" applyAlignment="1">
      <alignment horizontal="centerContinuous"/>
    </xf>
    <xf numFmtId="0" fontId="6" fillId="0" borderId="33" xfId="0" applyFont="1" applyBorder="1" applyAlignment="1">
      <alignment horizontal="centerContinuous"/>
    </xf>
    <xf numFmtId="0" fontId="6" fillId="35" borderId="27" xfId="62" applyFont="1" applyFill="1" applyBorder="1" applyAlignment="1" applyProtection="1">
      <alignment horizontal="center"/>
      <protection locked="0"/>
    </xf>
    <xf numFmtId="0" fontId="6" fillId="0" borderId="32" xfId="62" applyFont="1" applyBorder="1" applyAlignment="1">
      <alignment horizontal="centerContinuous"/>
      <protection/>
    </xf>
    <xf numFmtId="0" fontId="10" fillId="0" borderId="38" xfId="0" applyFont="1" applyBorder="1" applyAlignment="1">
      <alignment horizontal="centerContinuous"/>
    </xf>
    <xf numFmtId="0" fontId="10" fillId="0" borderId="36" xfId="0" applyFont="1" applyBorder="1" applyAlignment="1">
      <alignment horizontal="centerContinuous"/>
    </xf>
    <xf numFmtId="0" fontId="10" fillId="0" borderId="16" xfId="0" applyFont="1" applyBorder="1" applyAlignment="1">
      <alignment horizontal="centerContinuous"/>
    </xf>
    <xf numFmtId="0" fontId="3" fillId="33" borderId="29" xfId="58" applyFill="1" applyBorder="1" applyProtection="1">
      <alignment/>
      <protection/>
    </xf>
    <xf numFmtId="0" fontId="3" fillId="33" borderId="21" xfId="58" applyFill="1" applyBorder="1" applyAlignment="1" applyProtection="1">
      <alignment horizontal="centerContinuous"/>
      <protection/>
    </xf>
    <xf numFmtId="17" fontId="17" fillId="33" borderId="18" xfId="58" applyNumberFormat="1" applyFont="1" applyFill="1" applyBorder="1" applyAlignment="1" applyProtection="1" quotePrefix="1">
      <alignment horizontal="right"/>
      <protection/>
    </xf>
    <xf numFmtId="0" fontId="3" fillId="0" borderId="0" xfId="59" applyAlignment="1" applyProtection="1">
      <alignment/>
      <protection/>
    </xf>
    <xf numFmtId="0" fontId="3" fillId="0" borderId="0" xfId="59" applyAlignment="1" applyProtection="1">
      <alignment horizontal="centerContinuous"/>
      <protection/>
    </xf>
    <xf numFmtId="0" fontId="3" fillId="0" borderId="0" xfId="59" applyProtection="1">
      <alignment/>
      <protection/>
    </xf>
    <xf numFmtId="0" fontId="17" fillId="33" borderId="22" xfId="58" applyFont="1" applyFill="1" applyBorder="1" applyAlignment="1" applyProtection="1">
      <alignment horizontal="centerContinuous"/>
      <protection/>
    </xf>
    <xf numFmtId="0" fontId="3" fillId="33" borderId="0" xfId="58" applyFill="1" applyBorder="1" applyAlignment="1" applyProtection="1">
      <alignment horizontal="centerContinuous"/>
      <protection/>
    </xf>
    <xf numFmtId="0" fontId="3" fillId="33" borderId="30" xfId="58" applyFill="1" applyBorder="1" applyAlignment="1" applyProtection="1">
      <alignment horizontal="centerContinuous"/>
      <protection/>
    </xf>
    <xf numFmtId="0" fontId="3" fillId="33" borderId="28" xfId="58" applyFill="1" applyBorder="1" applyProtection="1">
      <alignment/>
      <protection/>
    </xf>
    <xf numFmtId="0" fontId="3" fillId="33" borderId="23" xfId="58" applyFill="1" applyBorder="1" applyAlignment="1" applyProtection="1">
      <alignment horizontal="centerContinuous"/>
      <protection/>
    </xf>
    <xf numFmtId="0" fontId="3" fillId="33" borderId="19" xfId="58" applyFill="1" applyBorder="1" applyAlignment="1" applyProtection="1">
      <alignment horizontal="centerContinuous"/>
      <protection/>
    </xf>
    <xf numFmtId="0" fontId="37" fillId="0" borderId="0" xfId="55" applyFont="1" applyAlignment="1" applyProtection="1">
      <alignment horizontal="centerContinuous"/>
      <protection/>
    </xf>
    <xf numFmtId="0" fontId="3" fillId="0" borderId="0" xfId="55" applyAlignment="1" applyProtection="1">
      <alignment horizontal="centerContinuous"/>
      <protection/>
    </xf>
    <xf numFmtId="0" fontId="3" fillId="0" borderId="0" xfId="55" applyAlignment="1" applyProtection="1">
      <alignment/>
      <protection/>
    </xf>
    <xf numFmtId="0" fontId="3" fillId="0" borderId="0" xfId="55" applyProtection="1">
      <alignment/>
      <protection/>
    </xf>
    <xf numFmtId="0" fontId="3" fillId="0" borderId="35" xfId="55" applyFont="1" applyFill="1" applyBorder="1" applyAlignment="1" applyProtection="1">
      <alignment horizontal="centerContinuous"/>
      <protection/>
    </xf>
    <xf numFmtId="0" fontId="3" fillId="0" borderId="35" xfId="55" applyFont="1" applyFill="1" applyBorder="1" applyAlignment="1" applyProtection="1">
      <alignment horizontal="centerContinuous"/>
      <protection locked="0"/>
    </xf>
    <xf numFmtId="0" fontId="3" fillId="0" borderId="35" xfId="55" applyFill="1" applyBorder="1" applyAlignment="1" applyProtection="1">
      <alignment horizontal="centerContinuous"/>
      <protection locked="0"/>
    </xf>
    <xf numFmtId="0" fontId="3" fillId="0" borderId="0" xfId="55" applyFill="1" applyProtection="1">
      <alignment/>
      <protection/>
    </xf>
    <xf numFmtId="0" fontId="3" fillId="0" borderId="0" xfId="55" applyBorder="1" applyProtection="1">
      <alignment/>
      <protection/>
    </xf>
    <xf numFmtId="0" fontId="3" fillId="35" borderId="35" xfId="55" applyFont="1" applyFill="1" applyBorder="1" applyAlignment="1" applyProtection="1">
      <alignment horizontal="centerContinuous"/>
      <protection locked="0"/>
    </xf>
    <xf numFmtId="0" fontId="3" fillId="35" borderId="35" xfId="55" applyFont="1" applyFill="1" applyBorder="1" applyAlignment="1" applyProtection="1">
      <alignment horizontal="centerContinuous"/>
      <protection/>
    </xf>
    <xf numFmtId="0" fontId="3" fillId="35" borderId="35" xfId="55" applyFill="1" applyBorder="1" applyAlignment="1" applyProtection="1">
      <alignment horizontal="centerContinuous"/>
      <protection/>
    </xf>
    <xf numFmtId="168" fontId="3" fillId="35" borderId="35" xfId="55" applyNumberFormat="1" applyFill="1" applyBorder="1" applyAlignment="1" applyProtection="1">
      <alignment horizontal="centerContinuous"/>
      <protection locked="0"/>
    </xf>
    <xf numFmtId="0" fontId="3" fillId="35" borderId="35" xfId="55" applyFill="1" applyBorder="1" applyAlignment="1" applyProtection="1">
      <alignment horizontal="centerContinuous"/>
      <protection locked="0"/>
    </xf>
    <xf numFmtId="0" fontId="3" fillId="0" borderId="35" xfId="55" applyFont="1" applyFill="1" applyBorder="1" applyAlignment="1" applyProtection="1">
      <alignment horizontal="centerContinuous"/>
      <protection/>
    </xf>
    <xf numFmtId="0" fontId="3" fillId="0" borderId="0" xfId="55" applyAlignment="1" applyProtection="1">
      <alignment vertical="center"/>
      <protection/>
    </xf>
    <xf numFmtId="0" fontId="3" fillId="0" borderId="0" xfId="55" applyFont="1" applyBorder="1" applyProtection="1">
      <alignment/>
      <protection/>
    </xf>
    <xf numFmtId="0" fontId="18" fillId="0" borderId="0" xfId="55" applyFont="1" applyBorder="1" applyProtection="1">
      <alignment/>
      <protection/>
    </xf>
    <xf numFmtId="0" fontId="17" fillId="0" borderId="0" xfId="55" applyFont="1" applyBorder="1" applyAlignment="1" applyProtection="1">
      <alignment horizontal="center"/>
      <protection/>
    </xf>
    <xf numFmtId="0" fontId="3" fillId="0" borderId="29" xfId="55" applyFont="1" applyBorder="1" applyAlignment="1" applyProtection="1">
      <alignment horizontal="center"/>
      <protection/>
    </xf>
    <xf numFmtId="0" fontId="3" fillId="0" borderId="21" xfId="55" applyFont="1" applyBorder="1" applyAlignment="1" applyProtection="1">
      <alignment horizontal="center"/>
      <protection/>
    </xf>
    <xf numFmtId="0" fontId="3" fillId="0" borderId="18" xfId="55" applyFont="1" applyBorder="1" applyAlignment="1" applyProtection="1">
      <alignment horizontal="center"/>
      <protection/>
    </xf>
    <xf numFmtId="0" fontId="3" fillId="0" borderId="29" xfId="55" applyBorder="1" applyAlignment="1" applyProtection="1">
      <alignment horizontal="center"/>
      <protection/>
    </xf>
    <xf numFmtId="0" fontId="3" fillId="0" borderId="54" xfId="55" applyBorder="1" applyAlignment="1" applyProtection="1">
      <alignment horizontal="center"/>
      <protection/>
    </xf>
    <xf numFmtId="0" fontId="3" fillId="0" borderId="54" xfId="55" applyFont="1" applyBorder="1" applyAlignment="1" applyProtection="1">
      <alignment horizontal="center"/>
      <protection/>
    </xf>
    <xf numFmtId="0" fontId="3" fillId="0" borderId="13" xfId="55" applyBorder="1" applyAlignment="1" applyProtection="1">
      <alignment horizontal="center"/>
      <protection/>
    </xf>
    <xf numFmtId="0" fontId="0" fillId="0" borderId="52" xfId="0" applyBorder="1" applyAlignment="1">
      <alignment horizontal="center"/>
    </xf>
    <xf numFmtId="0" fontId="3" fillId="0" borderId="22" xfId="55" applyFont="1" applyBorder="1" applyProtection="1" quotePrefix="1">
      <alignment/>
      <protection/>
    </xf>
    <xf numFmtId="0" fontId="3" fillId="0" borderId="0" xfId="55" applyFont="1" applyBorder="1" applyProtection="1" quotePrefix="1">
      <alignment/>
      <protection/>
    </xf>
    <xf numFmtId="0" fontId="3" fillId="0" borderId="30" xfId="55" applyBorder="1" applyProtection="1">
      <alignment/>
      <protection/>
    </xf>
    <xf numFmtId="0" fontId="3" fillId="0" borderId="28" xfId="55" applyBorder="1" applyAlignment="1" applyProtection="1">
      <alignment horizontal="center"/>
      <protection/>
    </xf>
    <xf numFmtId="0" fontId="3" fillId="0" borderId="47" xfId="55" applyBorder="1" applyAlignment="1" applyProtection="1">
      <alignment horizontal="center"/>
      <protection/>
    </xf>
    <xf numFmtId="0" fontId="3" fillId="0" borderId="12" xfId="55" applyBorder="1" applyAlignment="1" applyProtection="1">
      <alignment horizontal="center"/>
      <protection/>
    </xf>
    <xf numFmtId="0" fontId="0" fillId="0" borderId="51" xfId="0" applyBorder="1" applyAlignment="1">
      <alignment/>
    </xf>
    <xf numFmtId="164" fontId="3" fillId="0" borderId="22" xfId="55" applyNumberFormat="1" applyBorder="1" applyAlignment="1" applyProtection="1">
      <alignment horizontal="center"/>
      <protection/>
    </xf>
    <xf numFmtId="165" fontId="3" fillId="0" borderId="0" xfId="55" applyNumberFormat="1" applyBorder="1" applyAlignment="1" applyProtection="1">
      <alignment horizontal="center"/>
      <protection/>
    </xf>
    <xf numFmtId="164" fontId="3" fillId="0" borderId="30" xfId="55" applyNumberFormat="1" applyBorder="1" applyAlignment="1" applyProtection="1">
      <alignment horizontal="center"/>
      <protection/>
    </xf>
    <xf numFmtId="0" fontId="3" fillId="0" borderId="73" xfId="55" applyBorder="1" applyAlignment="1" applyProtection="1">
      <alignment horizontal="center"/>
      <protection/>
    </xf>
    <xf numFmtId="164" fontId="3" fillId="35" borderId="73" xfId="55" applyNumberFormat="1" applyFill="1" applyBorder="1" applyAlignment="1" applyProtection="1">
      <alignment horizontal="center"/>
      <protection locked="0"/>
    </xf>
    <xf numFmtId="164" fontId="3" fillId="35" borderId="10" xfId="55" applyNumberFormat="1" applyFill="1" applyBorder="1" applyAlignment="1" applyProtection="1">
      <alignment horizontal="center"/>
      <protection locked="0"/>
    </xf>
    <xf numFmtId="165" fontId="0" fillId="0" borderId="37" xfId="0" applyNumberFormat="1" applyBorder="1" applyAlignment="1" applyProtection="1">
      <alignment horizontal="center"/>
      <protection/>
    </xf>
    <xf numFmtId="164" fontId="3" fillId="35" borderId="22" xfId="55" applyNumberFormat="1" applyFill="1" applyBorder="1" applyAlignment="1" applyProtection="1">
      <alignment horizontal="center"/>
      <protection locked="0"/>
    </xf>
    <xf numFmtId="164" fontId="3" fillId="0" borderId="0" xfId="55" applyNumberFormat="1" applyProtection="1">
      <alignment/>
      <protection/>
    </xf>
    <xf numFmtId="164" fontId="3" fillId="35" borderId="47" xfId="55" applyNumberFormat="1" applyFill="1" applyBorder="1" applyAlignment="1" applyProtection="1">
      <alignment horizontal="center"/>
      <protection locked="0"/>
    </xf>
    <xf numFmtId="164" fontId="3" fillId="35" borderId="12" xfId="55" applyNumberFormat="1" applyFill="1" applyBorder="1" applyAlignment="1" applyProtection="1">
      <alignment horizontal="center"/>
      <protection locked="0"/>
    </xf>
    <xf numFmtId="165" fontId="0" fillId="0" borderId="19" xfId="0" applyNumberFormat="1" applyBorder="1" applyAlignment="1" applyProtection="1">
      <alignment horizontal="center"/>
      <protection/>
    </xf>
    <xf numFmtId="164" fontId="3" fillId="0" borderId="28" xfId="55" applyNumberFormat="1" applyBorder="1" applyAlignment="1" applyProtection="1">
      <alignment horizontal="center"/>
      <protection/>
    </xf>
    <xf numFmtId="165" fontId="3" fillId="0" borderId="23" xfId="55" applyNumberFormat="1" applyBorder="1" applyAlignment="1" applyProtection="1">
      <alignment horizontal="center"/>
      <protection/>
    </xf>
    <xf numFmtId="164" fontId="3" fillId="0" borderId="19" xfId="55" applyNumberFormat="1" applyBorder="1" applyAlignment="1" applyProtection="1">
      <alignment horizontal="center"/>
      <protection/>
    </xf>
    <xf numFmtId="0" fontId="3" fillId="0" borderId="43" xfId="55" applyBorder="1" applyProtection="1">
      <alignment/>
      <protection/>
    </xf>
    <xf numFmtId="0" fontId="3" fillId="0" borderId="20" xfId="55" applyBorder="1" applyProtection="1">
      <alignment/>
      <protection/>
    </xf>
    <xf numFmtId="164" fontId="3" fillId="35" borderId="74" xfId="55" applyNumberFormat="1" applyFill="1" applyBorder="1" applyAlignment="1" applyProtection="1">
      <alignment horizontal="center"/>
      <protection locked="0"/>
    </xf>
    <xf numFmtId="164" fontId="3" fillId="35" borderId="41" xfId="55" applyNumberFormat="1" applyFill="1" applyBorder="1" applyAlignment="1" applyProtection="1">
      <alignment horizontal="center"/>
      <protection locked="0"/>
    </xf>
    <xf numFmtId="0" fontId="3" fillId="0" borderId="0" xfId="55" applyFont="1" applyProtection="1" quotePrefix="1">
      <alignment/>
      <protection/>
    </xf>
    <xf numFmtId="0" fontId="3" fillId="0" borderId="24" xfId="55" applyBorder="1" applyProtection="1">
      <alignment/>
      <protection/>
    </xf>
    <xf numFmtId="0" fontId="3" fillId="0" borderId="35" xfId="55" applyBorder="1" applyProtection="1">
      <alignment/>
      <protection/>
    </xf>
    <xf numFmtId="164" fontId="3" fillId="35" borderId="75" xfId="55" applyNumberFormat="1" applyFill="1" applyBorder="1" applyAlignment="1" applyProtection="1">
      <alignment horizontal="center"/>
      <protection locked="0"/>
    </xf>
    <xf numFmtId="164" fontId="3" fillId="35" borderId="42" xfId="55" applyNumberFormat="1" applyFill="1" applyBorder="1" applyAlignment="1" applyProtection="1">
      <alignment horizontal="center"/>
      <protection locked="0"/>
    </xf>
    <xf numFmtId="164" fontId="3" fillId="0" borderId="75" xfId="55" applyNumberFormat="1" applyFill="1" applyBorder="1" applyAlignment="1" applyProtection="1">
      <alignment horizontal="center"/>
      <protection/>
    </xf>
    <xf numFmtId="0" fontId="3" fillId="0" borderId="42" xfId="55" applyFill="1" applyBorder="1" applyAlignment="1" applyProtection="1">
      <alignment horizontal="center"/>
      <protection/>
    </xf>
    <xf numFmtId="165" fontId="3" fillId="0" borderId="0" xfId="55" applyNumberFormat="1" applyFont="1" applyProtection="1" quotePrefix="1">
      <alignment/>
      <protection/>
    </xf>
    <xf numFmtId="164" fontId="3" fillId="35" borderId="36" xfId="55" applyNumberFormat="1" applyFill="1" applyBorder="1" applyAlignment="1" applyProtection="1">
      <alignment horizontal="center"/>
      <protection locked="0"/>
    </xf>
    <xf numFmtId="164" fontId="3" fillId="35" borderId="37" xfId="55" applyNumberFormat="1" applyFill="1" applyBorder="1" applyAlignment="1" applyProtection="1">
      <alignment horizontal="center"/>
      <protection locked="0"/>
    </xf>
    <xf numFmtId="0" fontId="3" fillId="0" borderId="29" xfId="55" applyFont="1" applyBorder="1" applyProtection="1">
      <alignment/>
      <protection/>
    </xf>
    <xf numFmtId="165" fontId="3" fillId="0" borderId="18" xfId="55" applyNumberFormat="1" applyBorder="1" applyProtection="1">
      <alignment/>
      <protection/>
    </xf>
    <xf numFmtId="0" fontId="3" fillId="0" borderId="37" xfId="55" applyBorder="1" applyProtection="1">
      <alignment/>
      <protection/>
    </xf>
    <xf numFmtId="164" fontId="3" fillId="0" borderId="34" xfId="55" applyNumberFormat="1" applyBorder="1" applyAlignment="1" applyProtection="1">
      <alignment horizontal="center"/>
      <protection/>
    </xf>
    <xf numFmtId="164" fontId="3" fillId="0" borderId="76" xfId="55" applyNumberFormat="1" applyBorder="1" applyAlignment="1" applyProtection="1">
      <alignment horizontal="center"/>
      <protection/>
    </xf>
    <xf numFmtId="0" fontId="3" fillId="0" borderId="22" xfId="55" applyFont="1" applyBorder="1" applyProtection="1">
      <alignment/>
      <protection/>
    </xf>
    <xf numFmtId="165" fontId="3" fillId="0" borderId="30" xfId="55" applyNumberFormat="1" applyBorder="1" applyProtection="1">
      <alignment/>
      <protection/>
    </xf>
    <xf numFmtId="0" fontId="17" fillId="0" borderId="0" xfId="55" applyFont="1" applyBorder="1" applyProtection="1">
      <alignment/>
      <protection/>
    </xf>
    <xf numFmtId="0" fontId="3" fillId="0" borderId="24" xfId="55" applyFont="1" applyBorder="1" applyProtection="1">
      <alignment/>
      <protection/>
    </xf>
    <xf numFmtId="0" fontId="3" fillId="0" borderId="30" xfId="55" applyBorder="1" applyAlignment="1" applyProtection="1">
      <alignment/>
      <protection/>
    </xf>
    <xf numFmtId="164" fontId="3" fillId="0" borderId="46" xfId="55" applyNumberFormat="1" applyBorder="1" applyAlignment="1" applyProtection="1">
      <alignment horizontal="center"/>
      <protection/>
    </xf>
    <xf numFmtId="0" fontId="3" fillId="0" borderId="28" xfId="55" applyFont="1" applyBorder="1" applyProtection="1">
      <alignment/>
      <protection/>
    </xf>
    <xf numFmtId="165" fontId="3" fillId="0" borderId="19" xfId="55" applyNumberFormat="1" applyFont="1" applyBorder="1" applyProtection="1">
      <alignment/>
      <protection/>
    </xf>
    <xf numFmtId="0" fontId="3" fillId="0" borderId="77" xfId="55" applyBorder="1" applyProtection="1">
      <alignment/>
      <protection/>
    </xf>
    <xf numFmtId="165" fontId="3" fillId="0" borderId="46" xfId="55" applyNumberFormat="1" applyBorder="1" applyAlignment="1" applyProtection="1">
      <alignment horizontal="center"/>
      <protection/>
    </xf>
    <xf numFmtId="165" fontId="3" fillId="0" borderId="34" xfId="55" applyNumberFormat="1" applyBorder="1" applyAlignment="1" applyProtection="1">
      <alignment horizontal="center"/>
      <protection/>
    </xf>
    <xf numFmtId="165" fontId="3" fillId="0" borderId="76" xfId="55" applyNumberFormat="1" applyBorder="1" applyAlignment="1" applyProtection="1">
      <alignment horizontal="center"/>
      <protection/>
    </xf>
    <xf numFmtId="165" fontId="3" fillId="0" borderId="57" xfId="55" applyNumberFormat="1" applyFont="1" applyBorder="1" applyAlignment="1" applyProtection="1">
      <alignment horizontal="center"/>
      <protection/>
    </xf>
    <xf numFmtId="0" fontId="3" fillId="0" borderId="56" xfId="55" applyBorder="1" applyProtection="1">
      <alignment/>
      <protection/>
    </xf>
    <xf numFmtId="164" fontId="3" fillId="35" borderId="75" xfId="55" applyNumberFormat="1" applyFont="1" applyFill="1" applyBorder="1" applyAlignment="1" applyProtection="1">
      <alignment horizontal="center"/>
      <protection locked="0"/>
    </xf>
    <xf numFmtId="164" fontId="3" fillId="0" borderId="36" xfId="55" applyNumberFormat="1" applyBorder="1" applyAlignment="1" applyProtection="1">
      <alignment horizontal="center"/>
      <protection/>
    </xf>
    <xf numFmtId="164" fontId="3" fillId="0" borderId="73" xfId="55" applyNumberFormat="1" applyBorder="1" applyAlignment="1" applyProtection="1">
      <alignment horizontal="center"/>
      <protection/>
    </xf>
    <xf numFmtId="164" fontId="3" fillId="0" borderId="42" xfId="55" applyNumberFormat="1" applyBorder="1" applyAlignment="1" applyProtection="1">
      <alignment horizontal="center"/>
      <protection/>
    </xf>
    <xf numFmtId="0" fontId="3" fillId="0" borderId="23" xfId="55" applyBorder="1" applyProtection="1">
      <alignment/>
      <protection/>
    </xf>
    <xf numFmtId="165" fontId="3" fillId="0" borderId="16" xfId="55" applyNumberFormat="1" applyBorder="1" applyAlignment="1" applyProtection="1">
      <alignment horizontal="center"/>
      <protection/>
    </xf>
    <xf numFmtId="165" fontId="3" fillId="0" borderId="47" xfId="55" applyNumberFormat="1" applyBorder="1" applyAlignment="1" applyProtection="1">
      <alignment horizontal="center"/>
      <protection/>
    </xf>
    <xf numFmtId="165" fontId="3" fillId="0" borderId="51" xfId="55" applyNumberFormat="1" applyBorder="1" applyAlignment="1" applyProtection="1">
      <alignment horizontal="center"/>
      <protection/>
    </xf>
    <xf numFmtId="165" fontId="3" fillId="0" borderId="57" xfId="55" applyNumberFormat="1" applyBorder="1" applyAlignment="1" applyProtection="1">
      <alignment horizontal="center"/>
      <protection/>
    </xf>
    <xf numFmtId="0" fontId="3" fillId="0" borderId="43" xfId="55" applyFont="1" applyBorder="1" applyProtection="1">
      <alignment/>
      <protection/>
    </xf>
    <xf numFmtId="164" fontId="3" fillId="0" borderId="74" xfId="55" applyNumberFormat="1" applyFont="1" applyBorder="1" applyAlignment="1" applyProtection="1" quotePrefix="1">
      <alignment horizontal="center"/>
      <protection/>
    </xf>
    <xf numFmtId="165" fontId="3" fillId="0" borderId="42" xfId="55" applyNumberFormat="1" applyBorder="1" applyAlignment="1" applyProtection="1">
      <alignment horizontal="center"/>
      <protection/>
    </xf>
    <xf numFmtId="164" fontId="3" fillId="0" borderId="42" xfId="55" applyNumberFormat="1" applyFont="1" applyBorder="1" applyAlignment="1" applyProtection="1">
      <alignment horizontal="center"/>
      <protection/>
    </xf>
    <xf numFmtId="2" fontId="3" fillId="0" borderId="42" xfId="55" applyNumberFormat="1" applyFont="1" applyBorder="1" applyAlignment="1" applyProtection="1">
      <alignment horizontal="center"/>
      <protection/>
    </xf>
    <xf numFmtId="0" fontId="3" fillId="0" borderId="0" xfId="55" applyProtection="1">
      <alignment/>
      <protection locked="0"/>
    </xf>
    <xf numFmtId="2" fontId="3" fillId="35" borderId="51" xfId="55" applyNumberFormat="1" applyFill="1" applyBorder="1" applyAlignment="1" applyProtection="1">
      <alignment horizontal="center"/>
      <protection locked="0"/>
    </xf>
    <xf numFmtId="0" fontId="3" fillId="0" borderId="23" xfId="55" applyFont="1" applyBorder="1" applyProtection="1">
      <alignment/>
      <protection/>
    </xf>
    <xf numFmtId="1" fontId="3" fillId="0" borderId="51" xfId="55" applyNumberFormat="1" applyFont="1" applyFill="1" applyBorder="1" applyAlignment="1" applyProtection="1">
      <alignment horizontal="center"/>
      <protection/>
    </xf>
    <xf numFmtId="0" fontId="3" fillId="35" borderId="35" xfId="55" applyFont="1" applyFill="1" applyBorder="1" applyProtection="1" quotePrefix="1">
      <alignment/>
      <protection locked="0"/>
    </xf>
    <xf numFmtId="0" fontId="3" fillId="35" borderId="35" xfId="55" applyFill="1" applyBorder="1" applyProtection="1">
      <alignment/>
      <protection locked="0"/>
    </xf>
    <xf numFmtId="0" fontId="3" fillId="0" borderId="38" xfId="55" applyFont="1" applyBorder="1" applyProtection="1">
      <alignment/>
      <protection/>
    </xf>
    <xf numFmtId="164" fontId="3" fillId="0" borderId="14" xfId="62" applyNumberFormat="1" applyFont="1" applyFill="1" applyBorder="1" applyAlignment="1" applyProtection="1">
      <alignment horizontal="center"/>
      <protection/>
    </xf>
    <xf numFmtId="164" fontId="3" fillId="0" borderId="41" xfId="62" applyNumberFormat="1" applyFont="1" applyBorder="1" applyAlignment="1" applyProtection="1">
      <alignment horizontal="center"/>
      <protection/>
    </xf>
    <xf numFmtId="165" fontId="6" fillId="0" borderId="78" xfId="62" applyNumberFormat="1" applyFont="1" applyBorder="1" applyAlignment="1" applyProtection="1">
      <alignment horizontal="center"/>
      <protection/>
    </xf>
    <xf numFmtId="0" fontId="6" fillId="0" borderId="28" xfId="62" applyFont="1" applyBorder="1" applyAlignment="1" applyProtection="1">
      <alignment horizontal="center"/>
      <protection/>
    </xf>
    <xf numFmtId="165" fontId="10" fillId="0" borderId="19" xfId="62" applyNumberFormat="1" applyFont="1" applyBorder="1" applyAlignment="1" applyProtection="1">
      <alignment horizontal="center"/>
      <protection/>
    </xf>
    <xf numFmtId="0" fontId="3" fillId="0" borderId="0" xfId="62" applyFont="1" applyBorder="1" applyAlignment="1" applyProtection="1">
      <alignment/>
      <protection/>
    </xf>
    <xf numFmtId="0" fontId="3" fillId="0" borderId="0" xfId="55" applyFont="1" applyProtection="1">
      <alignment/>
      <protection/>
    </xf>
    <xf numFmtId="0" fontId="3" fillId="0" borderId="35" xfId="55" applyFont="1" applyBorder="1" applyProtection="1">
      <alignment/>
      <protection/>
    </xf>
    <xf numFmtId="164" fontId="6" fillId="34" borderId="79" xfId="61" applyNumberFormat="1" applyFont="1" applyFill="1" applyBorder="1" applyAlignment="1" applyProtection="1">
      <alignment horizontal="center"/>
      <protection locked="0"/>
    </xf>
    <xf numFmtId="0" fontId="3" fillId="36" borderId="28" xfId="55" applyFill="1" applyBorder="1" applyProtection="1">
      <alignment/>
      <protection/>
    </xf>
    <xf numFmtId="0" fontId="0" fillId="0" borderId="0" xfId="0" applyFont="1" applyFill="1" applyBorder="1" applyAlignment="1" applyProtection="1">
      <alignment/>
      <protection/>
    </xf>
    <xf numFmtId="0" fontId="2" fillId="0" borderId="0" xfId="0" applyFont="1" applyFill="1" applyBorder="1" applyAlignment="1" applyProtection="1">
      <alignment/>
      <protection/>
    </xf>
    <xf numFmtId="1" fontId="5" fillId="0" borderId="0" xfId="56" applyNumberFormat="1" applyFont="1" applyFill="1" applyBorder="1" applyAlignment="1" applyProtection="1">
      <alignment/>
      <protection/>
    </xf>
    <xf numFmtId="0" fontId="28" fillId="0" borderId="0" xfId="0" applyFont="1" applyFill="1" applyBorder="1" applyAlignment="1" applyProtection="1">
      <alignment/>
      <protection/>
    </xf>
    <xf numFmtId="14" fontId="0" fillId="0" borderId="0" xfId="62" applyNumberFormat="1" applyFont="1" applyFill="1" applyBorder="1" applyAlignment="1" applyProtection="1">
      <alignment/>
      <protection/>
    </xf>
    <xf numFmtId="164" fontId="5" fillId="0" borderId="0" xfId="56" applyNumberFormat="1" applyFont="1" applyFill="1" applyBorder="1" applyAlignment="1" applyProtection="1">
      <alignment/>
      <protection/>
    </xf>
    <xf numFmtId="0" fontId="28" fillId="0" borderId="0" xfId="0" applyFont="1" applyFill="1" applyBorder="1" applyAlignment="1" applyProtection="1" quotePrefix="1">
      <alignment/>
      <protection/>
    </xf>
    <xf numFmtId="165" fontId="29" fillId="0" borderId="0" xfId="56" applyNumberFormat="1" applyFont="1" applyFill="1" applyBorder="1" applyAlignment="1" applyProtection="1">
      <alignment/>
      <protection/>
    </xf>
    <xf numFmtId="1" fontId="21" fillId="0" borderId="0" xfId="56" applyNumberFormat="1" applyFont="1" applyFill="1" applyBorder="1" applyAlignment="1" applyProtection="1">
      <alignment/>
      <protection/>
    </xf>
    <xf numFmtId="164" fontId="21" fillId="0" borderId="0" xfId="56" applyNumberFormat="1" applyFont="1" applyFill="1" applyBorder="1" applyAlignment="1" applyProtection="1">
      <alignment/>
      <protection/>
    </xf>
    <xf numFmtId="0" fontId="6" fillId="0" borderId="0" xfId="0" applyFont="1" applyFill="1" applyBorder="1" applyAlignment="1" applyProtection="1">
      <alignment/>
      <protection/>
    </xf>
    <xf numFmtId="164" fontId="0" fillId="0" borderId="0" xfId="0" applyNumberFormat="1" applyFill="1" applyBorder="1" applyAlignment="1" applyProtection="1">
      <alignment/>
      <protection/>
    </xf>
    <xf numFmtId="2" fontId="21" fillId="0" borderId="0" xfId="56" applyNumberFormat="1" applyFont="1" applyFill="1" applyBorder="1" applyAlignment="1" applyProtection="1">
      <alignment/>
      <protection/>
    </xf>
    <xf numFmtId="1" fontId="6" fillId="0" borderId="0" xfId="62" applyNumberFormat="1" applyFont="1" applyFill="1" applyBorder="1" applyAlignment="1" applyProtection="1" quotePrefix="1">
      <alignment/>
      <protection/>
    </xf>
    <xf numFmtId="165" fontId="5" fillId="0" borderId="0" xfId="56" applyNumberFormat="1" applyFont="1" applyFill="1" applyBorder="1" applyAlignment="1" applyProtection="1">
      <alignment/>
      <protection/>
    </xf>
    <xf numFmtId="2" fontId="5" fillId="0" borderId="0" xfId="56" applyNumberFormat="1" applyFont="1" applyFill="1" applyBorder="1" applyAlignment="1" applyProtection="1">
      <alignment/>
      <protection/>
    </xf>
    <xf numFmtId="1" fontId="6" fillId="0" borderId="0" xfId="0" applyNumberFormat="1"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NumberFormat="1" applyFont="1" applyFill="1" applyBorder="1" applyAlignment="1" applyProtection="1">
      <alignment/>
      <protection/>
    </xf>
    <xf numFmtId="164" fontId="6" fillId="0" borderId="0" xfId="62" applyNumberFormat="1" applyFont="1" applyFill="1" applyBorder="1" applyAlignment="1" applyProtection="1" quotePrefix="1">
      <alignment/>
      <protection/>
    </xf>
    <xf numFmtId="0" fontId="2" fillId="0" borderId="0" xfId="0" applyFont="1" applyFill="1" applyBorder="1" applyAlignment="1" applyProtection="1">
      <alignment wrapText="1"/>
      <protection/>
    </xf>
    <xf numFmtId="164" fontId="10" fillId="0" borderId="0" xfId="0" applyNumberFormat="1" applyFont="1" applyFill="1" applyBorder="1" applyAlignment="1" applyProtection="1">
      <alignment/>
      <protection/>
    </xf>
    <xf numFmtId="0" fontId="2" fillId="0" borderId="0" xfId="62" applyFont="1" applyFill="1" applyBorder="1" applyAlignment="1" applyProtection="1">
      <alignment/>
      <protection/>
    </xf>
    <xf numFmtId="0" fontId="2" fillId="0" borderId="0" xfId="62" applyFont="1" applyFill="1" applyBorder="1" applyAlignment="1" applyProtection="1">
      <alignment/>
      <protection/>
    </xf>
    <xf numFmtId="0" fontId="21" fillId="0" borderId="0" xfId="56" applyNumberFormat="1" applyFont="1" applyProtection="1">
      <alignment/>
      <protection/>
    </xf>
    <xf numFmtId="0" fontId="2" fillId="0" borderId="29" xfId="62" applyFont="1" applyFill="1" applyBorder="1" applyAlignment="1" applyProtection="1">
      <alignment/>
      <protection/>
    </xf>
    <xf numFmtId="0" fontId="2" fillId="0" borderId="21" xfId="0" applyFont="1" applyFill="1" applyBorder="1" applyAlignment="1" applyProtection="1">
      <alignment horizontal="center"/>
      <protection/>
    </xf>
    <xf numFmtId="0" fontId="2" fillId="0" borderId="23" xfId="0" applyFont="1" applyFill="1" applyBorder="1" applyAlignment="1" applyProtection="1">
      <alignment horizontal="left"/>
      <protection/>
    </xf>
    <xf numFmtId="0" fontId="28" fillId="0" borderId="23" xfId="0" applyFont="1" applyFill="1" applyBorder="1" applyAlignment="1" applyProtection="1">
      <alignment/>
      <protection/>
    </xf>
    <xf numFmtId="0" fontId="0" fillId="0" borderId="33" xfId="0" applyFill="1" applyBorder="1" applyAlignment="1" applyProtection="1">
      <alignment horizontal="centerContinuous"/>
      <protection/>
    </xf>
    <xf numFmtId="0" fontId="2" fillId="0" borderId="33" xfId="0" applyFont="1" applyFill="1" applyBorder="1" applyAlignment="1" applyProtection="1">
      <alignment horizontal="centerContinuous"/>
      <protection/>
    </xf>
    <xf numFmtId="0" fontId="10" fillId="0" borderId="33" xfId="62" applyFont="1" applyFill="1" applyBorder="1" applyAlignment="1" applyProtection="1">
      <alignment horizontal="centerContinuous" vertical="center" wrapText="1"/>
      <protection/>
    </xf>
    <xf numFmtId="0" fontId="2" fillId="0" borderId="31" xfId="62" applyFont="1" applyFill="1" applyBorder="1" applyAlignment="1" applyProtection="1">
      <alignment/>
      <protection/>
    </xf>
    <xf numFmtId="12" fontId="2" fillId="0" borderId="31" xfId="62" applyNumberFormat="1" applyFont="1" applyFill="1" applyBorder="1" applyAlignment="1" applyProtection="1">
      <alignment/>
      <protection/>
    </xf>
    <xf numFmtId="0" fontId="0" fillId="0" borderId="21" xfId="0" applyFill="1" applyBorder="1" applyAlignment="1" applyProtection="1">
      <alignment/>
      <protection/>
    </xf>
    <xf numFmtId="0" fontId="2" fillId="0" borderId="21" xfId="0" applyFont="1" applyFill="1" applyBorder="1" applyAlignment="1" applyProtection="1">
      <alignment horizontal="left"/>
      <protection/>
    </xf>
    <xf numFmtId="1" fontId="5" fillId="0" borderId="21" xfId="56" applyNumberFormat="1" applyFont="1" applyFill="1" applyBorder="1" applyAlignment="1" applyProtection="1">
      <alignment/>
      <protection/>
    </xf>
    <xf numFmtId="0" fontId="28" fillId="0" borderId="21" xfId="0" applyFont="1" applyFill="1" applyBorder="1" applyAlignment="1" applyProtection="1">
      <alignment/>
      <protection/>
    </xf>
    <xf numFmtId="1" fontId="29" fillId="0" borderId="18" xfId="56" applyNumberFormat="1" applyFont="1" applyFill="1" applyBorder="1" applyAlignment="1" applyProtection="1">
      <alignment/>
      <protection/>
    </xf>
    <xf numFmtId="0" fontId="6" fillId="0" borderId="28" xfId="62" applyFont="1" applyFill="1" applyBorder="1" applyAlignment="1" applyProtection="1">
      <alignment/>
      <protection/>
    </xf>
    <xf numFmtId="0" fontId="0" fillId="0" borderId="23" xfId="0" applyFill="1" applyBorder="1" applyAlignment="1" applyProtection="1">
      <alignment/>
      <protection/>
    </xf>
    <xf numFmtId="1" fontId="10" fillId="0" borderId="23" xfId="62" applyNumberFormat="1" applyFont="1" applyFill="1" applyBorder="1" applyAlignment="1" applyProtection="1" quotePrefix="1">
      <alignment/>
      <protection/>
    </xf>
    <xf numFmtId="1" fontId="15" fillId="0" borderId="19" xfId="62" applyNumberFormat="1" applyFont="1" applyFill="1" applyBorder="1" applyAlignment="1" applyProtection="1">
      <alignment/>
      <protection/>
    </xf>
    <xf numFmtId="0" fontId="43" fillId="0" borderId="31" xfId="62" applyFont="1" applyFill="1" applyBorder="1" applyAlignment="1" applyProtection="1">
      <alignment horizontal="centerContinuous"/>
      <protection/>
    </xf>
    <xf numFmtId="0" fontId="0" fillId="0" borderId="27" xfId="0" applyBorder="1" applyAlignment="1">
      <alignment/>
    </xf>
    <xf numFmtId="0" fontId="2" fillId="0" borderId="33" xfId="0" applyFont="1" applyBorder="1" applyAlignment="1">
      <alignment/>
    </xf>
    <xf numFmtId="168" fontId="3" fillId="0" borderId="35" xfId="55" applyNumberFormat="1" applyFont="1" applyFill="1" applyBorder="1" applyAlignment="1" applyProtection="1">
      <alignment horizontal="centerContinuous"/>
      <protection/>
    </xf>
    <xf numFmtId="1" fontId="6" fillId="0" borderId="37" xfId="0" applyNumberFormat="1" applyFont="1" applyFill="1" applyBorder="1" applyAlignment="1" applyProtection="1">
      <alignment horizontal="center"/>
      <protection locked="0"/>
    </xf>
    <xf numFmtId="0" fontId="8" fillId="0" borderId="0" xfId="62" applyFont="1" applyAlignment="1" applyProtection="1">
      <alignment horizontal="centerContinuous"/>
      <protection/>
    </xf>
    <xf numFmtId="0" fontId="0" fillId="0" borderId="0" xfId="62" applyFont="1" applyAlignment="1" applyProtection="1">
      <alignment/>
      <protection/>
    </xf>
    <xf numFmtId="14" fontId="6" fillId="35" borderId="23" xfId="62" applyNumberFormat="1" applyFont="1" applyFill="1" applyBorder="1" applyAlignment="1" applyProtection="1">
      <alignment horizontal="center"/>
      <protection locked="0"/>
    </xf>
    <xf numFmtId="0" fontId="6" fillId="0" borderId="32" xfId="62" applyFont="1" applyBorder="1" applyAlignment="1" applyProtection="1">
      <alignment horizontal="center"/>
      <protection/>
    </xf>
    <xf numFmtId="1" fontId="6" fillId="0" borderId="10" xfId="62" applyNumberFormat="1" applyFont="1" applyFill="1" applyBorder="1" applyAlignment="1" applyProtection="1">
      <alignment horizontal="center"/>
      <protection/>
    </xf>
    <xf numFmtId="1" fontId="6" fillId="34" borderId="10" xfId="62" applyNumberFormat="1" applyFont="1" applyFill="1" applyBorder="1" applyAlignment="1" applyProtection="1">
      <alignment horizontal="center"/>
      <protection locked="0"/>
    </xf>
    <xf numFmtId="0" fontId="6" fillId="0" borderId="27" xfId="62" applyFont="1" applyBorder="1" applyAlignment="1">
      <alignment horizontal="center"/>
      <protection/>
    </xf>
    <xf numFmtId="1" fontId="6" fillId="0" borderId="37" xfId="62" applyNumberFormat="1" applyFont="1" applyFill="1" applyBorder="1" applyAlignment="1" applyProtection="1" quotePrefix="1">
      <alignment horizontal="center"/>
      <protection/>
    </xf>
    <xf numFmtId="0" fontId="3" fillId="0" borderId="0" xfId="60" applyFont="1" applyAlignment="1">
      <alignment horizontal="centerContinuous"/>
      <protection/>
    </xf>
    <xf numFmtId="0" fontId="3" fillId="0" borderId="0" xfId="56" applyProtection="1" quotePrefix="1">
      <alignment/>
      <protection locked="0"/>
    </xf>
    <xf numFmtId="0" fontId="3" fillId="35" borderId="0" xfId="56" applyFill="1" applyProtection="1">
      <alignment/>
      <protection locked="0"/>
    </xf>
    <xf numFmtId="0" fontId="6" fillId="0" borderId="31" xfId="0" applyFont="1" applyBorder="1" applyAlignment="1" quotePrefix="1">
      <alignment horizontal="centerContinuous"/>
    </xf>
    <xf numFmtId="0" fontId="6" fillId="0" borderId="33" xfId="0" applyFont="1" applyBorder="1" applyAlignment="1" quotePrefix="1">
      <alignment horizontal="centerContinuous"/>
    </xf>
    <xf numFmtId="0" fontId="10" fillId="0" borderId="0" xfId="62" applyFont="1" applyProtection="1">
      <alignment/>
      <protection/>
    </xf>
    <xf numFmtId="1" fontId="6" fillId="34" borderId="37" xfId="62" applyNumberFormat="1" applyFont="1" applyFill="1" applyBorder="1" applyAlignment="1" applyProtection="1" quotePrefix="1">
      <alignment horizontal="center"/>
      <protection locked="0"/>
    </xf>
    <xf numFmtId="164" fontId="6" fillId="34" borderId="19" xfId="62" applyNumberFormat="1" applyFont="1" applyFill="1" applyBorder="1" applyAlignment="1" applyProtection="1" quotePrefix="1">
      <alignment horizontal="center"/>
      <protection locked="0"/>
    </xf>
    <xf numFmtId="1" fontId="6" fillId="0" borderId="37" xfId="62" applyNumberFormat="1" applyFont="1" applyFill="1" applyBorder="1" applyAlignment="1" applyProtection="1">
      <alignment horizontal="center"/>
      <protection locked="0"/>
    </xf>
    <xf numFmtId="0" fontId="10" fillId="0" borderId="0" xfId="0" applyNumberFormat="1" applyFont="1" applyAlignment="1" applyProtection="1" quotePrefix="1">
      <alignment/>
      <protection/>
    </xf>
    <xf numFmtId="164" fontId="5" fillId="34" borderId="49" xfId="56" applyNumberFormat="1" applyFont="1" applyFill="1" applyBorder="1" applyAlignment="1" applyProtection="1" quotePrefix="1">
      <alignment horizontal="center"/>
      <protection locked="0"/>
    </xf>
    <xf numFmtId="1" fontId="0" fillId="0" borderId="0" xfId="62" applyNumberFormat="1" applyFont="1">
      <alignment/>
      <protection/>
    </xf>
    <xf numFmtId="164" fontId="0" fillId="0" borderId="0" xfId="62" applyNumberFormat="1" applyFont="1">
      <alignment/>
      <protection/>
    </xf>
    <xf numFmtId="1" fontId="0" fillId="0" borderId="0" xfId="0" applyNumberFormat="1" applyAlignment="1">
      <alignment/>
    </xf>
    <xf numFmtId="0" fontId="6" fillId="0" borderId="45" xfId="0" applyFont="1" applyBorder="1" applyAlignment="1">
      <alignment/>
    </xf>
    <xf numFmtId="0" fontId="6" fillId="0" borderId="56" xfId="0" applyFont="1" applyBorder="1" applyAlignment="1">
      <alignment/>
    </xf>
    <xf numFmtId="0" fontId="6" fillId="0" borderId="78" xfId="0" applyFont="1" applyBorder="1" applyAlignment="1">
      <alignment/>
    </xf>
    <xf numFmtId="0" fontId="6" fillId="34" borderId="78" xfId="0" applyFont="1" applyFill="1" applyBorder="1" applyAlignment="1" applyProtection="1">
      <alignment horizontal="center"/>
      <protection locked="0"/>
    </xf>
    <xf numFmtId="0" fontId="6" fillId="34" borderId="77" xfId="0" applyFont="1" applyFill="1" applyBorder="1" applyAlignment="1" applyProtection="1">
      <alignment horizontal="center"/>
      <protection locked="0"/>
    </xf>
    <xf numFmtId="0" fontId="9" fillId="0" borderId="0" xfId="62" applyFont="1" applyFill="1" applyProtection="1">
      <alignment/>
      <protection/>
    </xf>
    <xf numFmtId="0" fontId="0" fillId="0" borderId="0" xfId="62" applyFont="1" applyFill="1" applyProtection="1">
      <alignment/>
      <protection/>
    </xf>
    <xf numFmtId="0" fontId="0" fillId="0" borderId="0" xfId="0" applyAlignment="1" applyProtection="1">
      <alignment/>
      <protection locked="0"/>
    </xf>
    <xf numFmtId="0" fontId="6" fillId="0" borderId="0" xfId="62" applyFont="1" applyFill="1" applyAlignment="1" applyProtection="1">
      <alignment horizontal="center"/>
      <protection/>
    </xf>
    <xf numFmtId="1" fontId="6" fillId="0" borderId="0" xfId="0" applyNumberFormat="1" applyFont="1" applyFill="1" applyBorder="1" applyAlignment="1" applyProtection="1">
      <alignment horizontal="left"/>
      <protection/>
    </xf>
    <xf numFmtId="0" fontId="0" fillId="37" borderId="0" xfId="0" applyFill="1" applyAlignment="1">
      <alignment/>
    </xf>
    <xf numFmtId="0" fontId="20" fillId="0" borderId="31" xfId="62" applyFont="1" applyFill="1" applyBorder="1" applyAlignment="1">
      <alignment horizontal="left" vertical="center"/>
      <protection/>
    </xf>
    <xf numFmtId="0" fontId="0" fillId="0" borderId="0" xfId="62" applyFont="1" quotePrefix="1">
      <alignment/>
      <protection/>
    </xf>
    <xf numFmtId="0" fontId="0" fillId="0" borderId="0" xfId="0" applyAlignment="1" quotePrefix="1">
      <alignment/>
    </xf>
    <xf numFmtId="1" fontId="6" fillId="34" borderId="37" xfId="62" applyNumberFormat="1" applyFont="1" applyFill="1" applyBorder="1" applyAlignment="1" applyProtection="1">
      <alignment horizontal="center"/>
      <protection locked="0"/>
    </xf>
    <xf numFmtId="164" fontId="6" fillId="0" borderId="12" xfId="62" applyNumberFormat="1" applyFont="1" applyFill="1" applyBorder="1" applyAlignment="1" applyProtection="1">
      <alignment horizontal="center"/>
      <protection locked="0"/>
    </xf>
    <xf numFmtId="170" fontId="6" fillId="34" borderId="0" xfId="0" applyNumberFormat="1" applyFont="1" applyFill="1" applyAlignment="1" applyProtection="1">
      <alignment horizontal="left"/>
      <protection locked="0"/>
    </xf>
    <xf numFmtId="1" fontId="6" fillId="34" borderId="76" xfId="62" applyNumberFormat="1" applyFont="1" applyFill="1" applyBorder="1" applyAlignment="1" applyProtection="1">
      <alignment horizontal="center"/>
      <protection locked="0"/>
    </xf>
    <xf numFmtId="164" fontId="45" fillId="0" borderId="35" xfId="0" applyNumberFormat="1" applyFont="1" applyFill="1" applyBorder="1" applyAlignment="1" applyProtection="1">
      <alignment horizontal="centerContinuous"/>
      <protection/>
    </xf>
    <xf numFmtId="164" fontId="45" fillId="0" borderId="0" xfId="0" applyNumberFormat="1" applyFont="1" applyFill="1" applyBorder="1" applyAlignment="1" applyProtection="1">
      <alignment horizontal="centerContinuous"/>
      <protection/>
    </xf>
    <xf numFmtId="0" fontId="46" fillId="0" borderId="0" xfId="0" applyFont="1" applyAlignment="1">
      <alignment horizontal="centerContinuous"/>
    </xf>
    <xf numFmtId="0" fontId="47" fillId="0" borderId="0" xfId="0" applyFont="1" applyAlignment="1">
      <alignment/>
    </xf>
    <xf numFmtId="0" fontId="46" fillId="0" borderId="0" xfId="0" applyFont="1" applyAlignment="1">
      <alignment horizontal="centerContinuous"/>
    </xf>
    <xf numFmtId="0" fontId="9" fillId="0" borderId="0" xfId="62" applyFont="1" applyAlignment="1" applyProtection="1">
      <alignment horizontal="left"/>
      <protection/>
    </xf>
    <xf numFmtId="16" fontId="2" fillId="35" borderId="40" xfId="0" applyNumberFormat="1" applyFont="1" applyFill="1" applyBorder="1" applyAlignment="1" applyProtection="1" quotePrefix="1">
      <alignment horizontal="center" vertical="center"/>
      <protection hidden="1"/>
    </xf>
    <xf numFmtId="169" fontId="2" fillId="35" borderId="27" xfId="0" applyNumberFormat="1" applyFont="1" applyFill="1" applyBorder="1" applyAlignment="1" applyProtection="1">
      <alignment horizontal="center" vertical="center"/>
      <protection hidden="1"/>
    </xf>
    <xf numFmtId="0" fontId="2" fillId="35" borderId="40" xfId="0" applyFont="1" applyFill="1" applyBorder="1" applyAlignment="1" applyProtection="1" quotePrefix="1">
      <alignment horizontal="center" vertical="center"/>
      <protection hidden="1"/>
    </xf>
    <xf numFmtId="0" fontId="2" fillId="35" borderId="27" xfId="0" applyFont="1" applyFill="1" applyBorder="1" applyAlignment="1" applyProtection="1">
      <alignment horizontal="center" vertical="center"/>
      <protection hidden="1"/>
    </xf>
    <xf numFmtId="0" fontId="2" fillId="35" borderId="27" xfId="0" applyFont="1" applyFill="1" applyBorder="1" applyAlignment="1" applyProtection="1" quotePrefix="1">
      <alignment horizontal="center" vertical="center"/>
      <protection hidden="1"/>
    </xf>
    <xf numFmtId="0" fontId="2" fillId="35" borderId="27" xfId="0" applyNumberFormat="1" applyFont="1" applyFill="1" applyBorder="1" applyAlignment="1" applyProtection="1">
      <alignment horizontal="center" vertical="center"/>
      <protection hidden="1"/>
    </xf>
    <xf numFmtId="171" fontId="2" fillId="0" borderId="27" xfId="0" applyNumberFormat="1" applyFont="1" applyFill="1" applyBorder="1" applyAlignment="1" applyProtection="1">
      <alignment horizontal="left"/>
      <protection/>
    </xf>
    <xf numFmtId="0" fontId="0" fillId="38" borderId="34" xfId="0" applyFont="1" applyFill="1" applyBorder="1" applyAlignment="1">
      <alignment vertical="top"/>
    </xf>
    <xf numFmtId="0" fontId="0" fillId="37" borderId="80" xfId="0" applyFill="1" applyBorder="1" applyAlignment="1">
      <alignment vertical="top"/>
    </xf>
    <xf numFmtId="0" fontId="0" fillId="0" borderId="0" xfId="0" applyFill="1" applyAlignment="1">
      <alignment vertical="top"/>
    </xf>
    <xf numFmtId="0" fontId="0" fillId="0" borderId="34" xfId="0" applyFont="1" applyFill="1" applyBorder="1" applyAlignment="1">
      <alignment vertical="top"/>
    </xf>
    <xf numFmtId="0" fontId="0" fillId="37" borderId="80" xfId="0" applyFill="1" applyBorder="1" applyAlignment="1">
      <alignment vertical="top" wrapText="1"/>
    </xf>
    <xf numFmtId="0" fontId="0" fillId="0" borderId="0" xfId="0" applyAlignment="1">
      <alignment vertical="top"/>
    </xf>
    <xf numFmtId="0" fontId="2" fillId="0" borderId="0" xfId="0" applyFont="1" applyAlignment="1">
      <alignment vertical="top"/>
    </xf>
    <xf numFmtId="0" fontId="2" fillId="0" borderId="0" xfId="0" applyFont="1" applyAlignment="1" quotePrefix="1">
      <alignment horizontal="left" vertical="top"/>
    </xf>
    <xf numFmtId="0" fontId="0" fillId="0" borderId="0" xfId="0" applyAlignment="1" quotePrefix="1">
      <alignment horizontal="left" vertical="top"/>
    </xf>
    <xf numFmtId="49" fontId="0" fillId="34" borderId="34" xfId="0" applyNumberFormat="1" applyFill="1" applyBorder="1" applyAlignment="1" applyProtection="1">
      <alignment vertical="top"/>
      <protection locked="0"/>
    </xf>
    <xf numFmtId="0" fontId="0" fillId="34" borderId="34" xfId="0" applyFill="1" applyBorder="1" applyAlignment="1" applyProtection="1">
      <alignment vertical="top"/>
      <protection locked="0"/>
    </xf>
    <xf numFmtId="49" fontId="0" fillId="34" borderId="34" xfId="0" applyNumberFormat="1" applyFill="1" applyBorder="1" applyAlignment="1">
      <alignment vertical="top"/>
    </xf>
    <xf numFmtId="0" fontId="0" fillId="34" borderId="34" xfId="0" applyNumberFormat="1" applyFill="1" applyBorder="1" applyAlignment="1">
      <alignment vertical="top"/>
    </xf>
    <xf numFmtId="0" fontId="0" fillId="34" borderId="34" xfId="0" applyFill="1" applyBorder="1" applyAlignment="1">
      <alignment vertical="top"/>
    </xf>
    <xf numFmtId="0" fontId="10" fillId="34" borderId="29" xfId="0" applyFont="1" applyFill="1" applyBorder="1" applyAlignment="1" applyProtection="1">
      <alignment/>
      <protection/>
    </xf>
    <xf numFmtId="0" fontId="6" fillId="34" borderId="28" xfId="0" applyFont="1" applyFill="1" applyBorder="1" applyAlignment="1" applyProtection="1">
      <alignment/>
      <protection/>
    </xf>
    <xf numFmtId="2" fontId="0" fillId="0" borderId="10" xfId="0" applyNumberFormat="1" applyFill="1" applyBorder="1" applyAlignment="1" applyProtection="1">
      <alignment horizontal="center"/>
      <protection locked="0"/>
    </xf>
    <xf numFmtId="2" fontId="0" fillId="0" borderId="12" xfId="0" applyNumberFormat="1" applyFill="1" applyBorder="1" applyAlignment="1" applyProtection="1">
      <alignment horizontal="center"/>
      <protection locked="0"/>
    </xf>
    <xf numFmtId="1" fontId="0" fillId="35" borderId="10" xfId="0" applyNumberFormat="1" applyFill="1" applyBorder="1" applyAlignment="1" applyProtection="1">
      <alignment horizontal="center"/>
      <protection locked="0"/>
    </xf>
    <xf numFmtId="0" fontId="0" fillId="35" borderId="35" xfId="0" applyFill="1" applyBorder="1" applyAlignment="1" applyProtection="1">
      <alignment horizontal="centerContinuous"/>
      <protection locked="0"/>
    </xf>
    <xf numFmtId="0" fontId="0" fillId="35" borderId="23" xfId="0" applyFill="1" applyBorder="1" applyAlignment="1" applyProtection="1">
      <alignment horizontal="centerContinuous"/>
      <protection locked="0"/>
    </xf>
    <xf numFmtId="0" fontId="3" fillId="0" borderId="0" xfId="56" applyFill="1" applyAlignment="1" applyProtection="1">
      <alignment horizontal="center"/>
      <protection locked="0"/>
    </xf>
    <xf numFmtId="0" fontId="3" fillId="0" borderId="43" xfId="62" applyFont="1" applyBorder="1" applyAlignment="1" applyProtection="1">
      <alignment horizontal="left"/>
      <protection/>
    </xf>
    <xf numFmtId="164" fontId="6" fillId="0" borderId="11" xfId="0" applyNumberFormat="1" applyFont="1" applyBorder="1" applyAlignment="1">
      <alignment horizontal="center"/>
    </xf>
    <xf numFmtId="0" fontId="10" fillId="39" borderId="45" xfId="62" applyFont="1" applyFill="1" applyBorder="1" applyAlignment="1" applyProtection="1">
      <alignment vertical="top"/>
      <protection/>
    </xf>
    <xf numFmtId="0" fontId="9" fillId="39" borderId="78" xfId="62" applyFont="1" applyFill="1" applyBorder="1" applyAlignment="1" applyProtection="1">
      <alignment horizontal="centerContinuous" vertical="top"/>
      <protection/>
    </xf>
    <xf numFmtId="0" fontId="10" fillId="39" borderId="31" xfId="62" applyFont="1" applyFill="1" applyBorder="1" applyAlignment="1" applyProtection="1">
      <alignment horizontal="centerContinuous" vertical="top"/>
      <protection/>
    </xf>
    <xf numFmtId="0" fontId="6" fillId="39" borderId="33" xfId="0" applyFont="1" applyFill="1" applyBorder="1" applyAlignment="1">
      <alignment horizontal="centerContinuous" vertical="top"/>
    </xf>
    <xf numFmtId="0" fontId="10" fillId="39" borderId="48" xfId="62" applyFont="1" applyFill="1" applyBorder="1" applyAlignment="1" applyProtection="1">
      <alignment horizontal="center" vertical="top"/>
      <protection/>
    </xf>
    <xf numFmtId="0" fontId="10" fillId="39" borderId="24" xfId="62" applyFont="1" applyFill="1" applyBorder="1" applyAlignment="1" applyProtection="1">
      <alignment vertical="top"/>
      <protection/>
    </xf>
    <xf numFmtId="0" fontId="6" fillId="39" borderId="10" xfId="62" applyFont="1" applyFill="1" applyBorder="1" applyAlignment="1" applyProtection="1">
      <alignment vertical="top"/>
      <protection/>
    </xf>
    <xf numFmtId="1" fontId="10" fillId="35" borderId="49" xfId="62" applyNumberFormat="1" applyFont="1" applyFill="1" applyBorder="1" applyAlignment="1" applyProtection="1">
      <alignment horizontal="center" vertical="top"/>
      <protection locked="0"/>
    </xf>
    <xf numFmtId="0" fontId="6" fillId="39" borderId="78" xfId="62" applyFont="1" applyFill="1" applyBorder="1" applyAlignment="1" applyProtection="1">
      <alignment vertical="top"/>
      <protection/>
    </xf>
    <xf numFmtId="0" fontId="10" fillId="39" borderId="27" xfId="62" applyFont="1" applyFill="1" applyBorder="1" applyAlignment="1" applyProtection="1">
      <alignment horizontal="center" vertical="top"/>
      <protection/>
    </xf>
    <xf numFmtId="1" fontId="5" fillId="35" borderId="49" xfId="56" applyNumberFormat="1" applyFont="1" applyFill="1" applyBorder="1" applyAlignment="1" applyProtection="1">
      <alignment horizontal="center" vertical="top"/>
      <protection locked="0"/>
    </xf>
    <xf numFmtId="0" fontId="10" fillId="39" borderId="24" xfId="0" applyFont="1" applyFill="1" applyBorder="1" applyAlignment="1" applyProtection="1">
      <alignment vertical="top"/>
      <protection/>
    </xf>
    <xf numFmtId="0" fontId="6" fillId="39" borderId="10" xfId="0" applyFont="1" applyFill="1" applyBorder="1" applyAlignment="1">
      <alignment vertical="top"/>
    </xf>
    <xf numFmtId="0" fontId="6" fillId="39" borderId="40" xfId="62" applyFont="1" applyFill="1" applyBorder="1" applyAlignment="1" applyProtection="1">
      <alignment horizontal="center" vertical="top"/>
      <protection/>
    </xf>
    <xf numFmtId="0" fontId="6" fillId="39" borderId="32" xfId="62" applyFont="1" applyFill="1" applyBorder="1" applyAlignment="1" applyProtection="1">
      <alignment horizontal="center" vertical="top"/>
      <protection/>
    </xf>
    <xf numFmtId="0" fontId="6" fillId="39" borderId="27" xfId="62" applyFont="1" applyFill="1" applyBorder="1" applyAlignment="1">
      <alignment horizontal="center" vertical="top"/>
      <protection/>
    </xf>
    <xf numFmtId="1" fontId="10" fillId="35" borderId="50" xfId="62" applyNumberFormat="1" applyFont="1" applyFill="1" applyBorder="1" applyAlignment="1" applyProtection="1">
      <alignment horizontal="center" vertical="top"/>
      <protection locked="0"/>
    </xf>
    <xf numFmtId="49" fontId="6" fillId="39" borderId="36" xfId="62" applyNumberFormat="1" applyFont="1" applyFill="1" applyBorder="1" applyAlignment="1" applyProtection="1">
      <alignment horizontal="center" vertical="top"/>
      <protection/>
    </xf>
    <xf numFmtId="1" fontId="6" fillId="35" borderId="10" xfId="62" applyNumberFormat="1" applyFont="1" applyFill="1" applyBorder="1" applyAlignment="1" applyProtection="1">
      <alignment horizontal="center" vertical="top"/>
      <protection/>
    </xf>
    <xf numFmtId="1" fontId="6" fillId="35" borderId="37" xfId="62" applyNumberFormat="1" applyFont="1" applyFill="1" applyBorder="1" applyAlignment="1" applyProtection="1">
      <alignment horizontal="center" vertical="top"/>
      <protection/>
    </xf>
    <xf numFmtId="1" fontId="6" fillId="35" borderId="10" xfId="62" applyNumberFormat="1" applyFont="1" applyFill="1" applyBorder="1" applyAlignment="1" applyProtection="1">
      <alignment horizontal="center" vertical="top"/>
      <protection locked="0"/>
    </xf>
    <xf numFmtId="1" fontId="6" fillId="35" borderId="37" xfId="62" applyNumberFormat="1" applyFont="1" applyFill="1" applyBorder="1" applyAlignment="1" applyProtection="1">
      <alignment horizontal="center" vertical="top"/>
      <protection locked="0"/>
    </xf>
    <xf numFmtId="164" fontId="5" fillId="35" borderId="49" xfId="56" applyNumberFormat="1" applyFont="1" applyFill="1" applyBorder="1" applyAlignment="1" applyProtection="1">
      <alignment horizontal="center" vertical="top"/>
      <protection locked="0"/>
    </xf>
    <xf numFmtId="0" fontId="52" fillId="0" borderId="0" xfId="0" applyFont="1" applyFill="1" applyAlignment="1">
      <alignment vertical="top"/>
    </xf>
    <xf numFmtId="0" fontId="10" fillId="39" borderId="57" xfId="0" applyFont="1" applyFill="1" applyBorder="1" applyAlignment="1">
      <alignment horizontal="center" vertical="top"/>
    </xf>
    <xf numFmtId="164" fontId="6" fillId="39" borderId="40" xfId="62" applyNumberFormat="1" applyFont="1" applyFill="1" applyBorder="1" applyAlignment="1">
      <alignment horizontal="center" vertical="top"/>
      <protection/>
    </xf>
    <xf numFmtId="164" fontId="6" fillId="39" borderId="26" xfId="62" applyNumberFormat="1" applyFont="1" applyFill="1" applyBorder="1" applyAlignment="1">
      <alignment horizontal="center" vertical="top"/>
      <protection/>
    </xf>
    <xf numFmtId="164" fontId="6" fillId="39" borderId="27" xfId="62" applyNumberFormat="1" applyFont="1" applyFill="1" applyBorder="1" applyAlignment="1">
      <alignment horizontal="center" vertical="top"/>
      <protection/>
    </xf>
    <xf numFmtId="0" fontId="10" fillId="39" borderId="55" xfId="0" applyFont="1" applyFill="1" applyBorder="1" applyAlignment="1">
      <alignment horizontal="center" vertical="top"/>
    </xf>
    <xf numFmtId="164" fontId="6" fillId="39" borderId="38" xfId="62" applyNumberFormat="1" applyFont="1" applyFill="1" applyBorder="1" applyAlignment="1">
      <alignment horizontal="center" vertical="top"/>
      <protection/>
    </xf>
    <xf numFmtId="164" fontId="6" fillId="39" borderId="81" xfId="62" applyNumberFormat="1" applyFont="1" applyFill="1" applyBorder="1" applyAlignment="1">
      <alignment horizontal="center" vertical="top"/>
      <protection/>
    </xf>
    <xf numFmtId="164" fontId="6" fillId="39" borderId="44" xfId="62" applyNumberFormat="1" applyFont="1" applyFill="1" applyBorder="1" applyAlignment="1">
      <alignment horizontal="center" vertical="top"/>
      <protection/>
    </xf>
    <xf numFmtId="0" fontId="10" fillId="39" borderId="67" xfId="0" applyFont="1" applyFill="1" applyBorder="1" applyAlignment="1">
      <alignment horizontal="center" vertical="top"/>
    </xf>
    <xf numFmtId="164" fontId="6" fillId="39" borderId="46" xfId="62" applyNumberFormat="1" applyFont="1" applyFill="1" applyBorder="1" applyAlignment="1">
      <alignment horizontal="center" vertical="top"/>
      <protection/>
    </xf>
    <xf numFmtId="164" fontId="6" fillId="39" borderId="34" xfId="62" applyNumberFormat="1" applyFont="1" applyFill="1" applyBorder="1" applyAlignment="1">
      <alignment horizontal="center" vertical="top"/>
      <protection/>
    </xf>
    <xf numFmtId="164" fontId="6" fillId="39" borderId="77" xfId="62" applyNumberFormat="1" applyFont="1" applyFill="1" applyBorder="1" applyAlignment="1">
      <alignment horizontal="center" vertical="top"/>
      <protection/>
    </xf>
    <xf numFmtId="0" fontId="6" fillId="39" borderId="36" xfId="62" applyFont="1" applyFill="1" applyBorder="1" applyAlignment="1" applyProtection="1">
      <alignment horizontal="center" vertical="top"/>
      <protection/>
    </xf>
    <xf numFmtId="165" fontId="6" fillId="39" borderId="46" xfId="62" applyNumberFormat="1" applyFont="1" applyFill="1" applyBorder="1" applyAlignment="1">
      <alignment horizontal="center" vertical="top"/>
      <protection/>
    </xf>
    <xf numFmtId="165" fontId="6" fillId="39" borderId="34" xfId="62" applyNumberFormat="1" applyFont="1" applyFill="1" applyBorder="1" applyAlignment="1">
      <alignment horizontal="center" vertical="top"/>
      <protection/>
    </xf>
    <xf numFmtId="165" fontId="6" fillId="39" borderId="77" xfId="62" applyNumberFormat="1" applyFont="1" applyFill="1" applyBorder="1" applyAlignment="1">
      <alignment horizontal="center" vertical="top"/>
      <protection/>
    </xf>
    <xf numFmtId="165" fontId="6" fillId="39" borderId="36" xfId="62" applyNumberFormat="1" applyFont="1" applyFill="1" applyBorder="1" applyAlignment="1" applyProtection="1">
      <alignment horizontal="center" vertical="top"/>
      <protection/>
    </xf>
    <xf numFmtId="165" fontId="5" fillId="35" borderId="49" xfId="56" applyNumberFormat="1" applyFont="1" applyFill="1" applyBorder="1" applyAlignment="1" applyProtection="1">
      <alignment horizontal="center" vertical="top"/>
      <protection locked="0"/>
    </xf>
    <xf numFmtId="2" fontId="5" fillId="35" borderId="49" xfId="56" applyNumberFormat="1" applyFont="1" applyFill="1" applyBorder="1" applyAlignment="1" applyProtection="1">
      <alignment horizontal="center" vertical="top"/>
      <protection locked="0"/>
    </xf>
    <xf numFmtId="1" fontId="6" fillId="35" borderId="76" xfId="62" applyNumberFormat="1" applyFont="1" applyFill="1" applyBorder="1" applyAlignment="1" applyProtection="1">
      <alignment horizontal="center" vertical="top"/>
      <protection locked="0"/>
    </xf>
    <xf numFmtId="0" fontId="10" fillId="39" borderId="79" xfId="0" applyFont="1" applyFill="1" applyBorder="1" applyAlignment="1">
      <alignment horizontal="center" vertical="top"/>
    </xf>
    <xf numFmtId="164" fontId="6" fillId="39" borderId="16" xfId="62" applyNumberFormat="1" applyFont="1" applyFill="1" applyBorder="1" applyAlignment="1">
      <alignment horizontal="center" vertical="top"/>
      <protection/>
    </xf>
    <xf numFmtId="164" fontId="6" fillId="39" borderId="47" xfId="62" applyNumberFormat="1" applyFont="1" applyFill="1" applyBorder="1" applyAlignment="1">
      <alignment horizontal="center" vertical="top"/>
      <protection/>
    </xf>
    <xf numFmtId="164" fontId="6" fillId="39" borderId="19" xfId="62" applyNumberFormat="1" applyFont="1" applyFill="1" applyBorder="1" applyAlignment="1">
      <alignment horizontal="center" vertical="top"/>
      <protection/>
    </xf>
    <xf numFmtId="0" fontId="6" fillId="39" borderId="16" xfId="62" applyFont="1" applyFill="1" applyBorder="1" applyAlignment="1" applyProtection="1">
      <alignment horizontal="center" vertical="top"/>
      <protection/>
    </xf>
    <xf numFmtId="164" fontId="6" fillId="35" borderId="12" xfId="62" applyNumberFormat="1" applyFont="1" applyFill="1" applyBorder="1" applyAlignment="1" applyProtection="1">
      <alignment horizontal="center" vertical="top"/>
      <protection locked="0"/>
    </xf>
    <xf numFmtId="164" fontId="6" fillId="35" borderId="19" xfId="62" applyNumberFormat="1" applyFont="1" applyFill="1" applyBorder="1" applyAlignment="1" applyProtection="1">
      <alignment horizontal="center" vertical="top"/>
      <protection locked="0"/>
    </xf>
    <xf numFmtId="0" fontId="6" fillId="39" borderId="36" xfId="0" applyFont="1" applyFill="1" applyBorder="1" applyAlignment="1">
      <alignment horizontal="center" vertical="top"/>
    </xf>
    <xf numFmtId="0" fontId="6" fillId="35" borderId="27" xfId="62" applyFont="1" applyFill="1" applyBorder="1" applyAlignment="1" applyProtection="1">
      <alignment horizontal="center" vertical="top"/>
      <protection locked="0"/>
    </xf>
    <xf numFmtId="0" fontId="10" fillId="35" borderId="72" xfId="0" applyFont="1" applyFill="1" applyBorder="1" applyAlignment="1" applyProtection="1">
      <alignment horizontal="center" vertical="top"/>
      <protection locked="0"/>
    </xf>
    <xf numFmtId="0" fontId="6" fillId="39" borderId="36" xfId="62" applyFont="1" applyFill="1" applyBorder="1" applyAlignment="1">
      <alignment horizontal="center" vertical="top"/>
      <protection/>
    </xf>
    <xf numFmtId="14" fontId="6" fillId="35" borderId="37" xfId="62" applyNumberFormat="1" applyFont="1" applyFill="1" applyBorder="1" applyAlignment="1" applyProtection="1">
      <alignment horizontal="center" vertical="top"/>
      <protection locked="0"/>
    </xf>
    <xf numFmtId="164" fontId="10" fillId="35" borderId="27" xfId="0" applyNumberFormat="1" applyFont="1" applyFill="1" applyBorder="1" applyAlignment="1" applyProtection="1">
      <alignment horizontal="center" vertical="top"/>
      <protection locked="0"/>
    </xf>
    <xf numFmtId="0" fontId="10" fillId="35" borderId="50" xfId="0" applyNumberFormat="1" applyFont="1" applyFill="1" applyBorder="1" applyAlignment="1" applyProtection="1">
      <alignment horizontal="center" vertical="top"/>
      <protection locked="0"/>
    </xf>
    <xf numFmtId="164" fontId="6" fillId="35" borderId="37" xfId="62" applyNumberFormat="1" applyFont="1" applyFill="1" applyBorder="1" applyAlignment="1" applyProtection="1">
      <alignment horizontal="center" vertical="top"/>
      <protection locked="0"/>
    </xf>
    <xf numFmtId="0" fontId="10" fillId="35" borderId="82" xfId="0" applyNumberFormat="1" applyFont="1" applyFill="1" applyBorder="1" applyAlignment="1" applyProtection="1">
      <alignment horizontal="center" vertical="top"/>
      <protection locked="0"/>
    </xf>
    <xf numFmtId="0" fontId="10" fillId="35" borderId="83" xfId="0" applyNumberFormat="1" applyFont="1" applyFill="1" applyBorder="1" applyAlignment="1" applyProtection="1">
      <alignment horizontal="center" vertical="top"/>
      <protection locked="0"/>
    </xf>
    <xf numFmtId="0" fontId="10" fillId="35" borderId="63" xfId="0" applyNumberFormat="1" applyFont="1" applyFill="1" applyBorder="1" applyAlignment="1" applyProtection="1">
      <alignment horizontal="center" vertical="top"/>
      <protection locked="0"/>
    </xf>
    <xf numFmtId="0" fontId="10" fillId="35" borderId="29" xfId="0" applyFont="1" applyFill="1" applyBorder="1" applyAlignment="1" applyProtection="1">
      <alignment vertical="top"/>
      <protection/>
    </xf>
    <xf numFmtId="0" fontId="6" fillId="35" borderId="28" xfId="0" applyFont="1" applyFill="1" applyBorder="1" applyAlignment="1" applyProtection="1">
      <alignment vertical="top"/>
      <protection/>
    </xf>
    <xf numFmtId="164" fontId="6" fillId="35" borderId="79" xfId="61" applyNumberFormat="1" applyFont="1" applyFill="1" applyBorder="1" applyAlignment="1" applyProtection="1">
      <alignment horizontal="center" vertical="top"/>
      <protection locked="0"/>
    </xf>
    <xf numFmtId="0" fontId="10" fillId="39" borderId="26" xfId="62" applyFont="1" applyFill="1" applyBorder="1" applyAlignment="1" applyProtection="1">
      <alignment horizontal="center" vertical="top"/>
      <protection/>
    </xf>
    <xf numFmtId="2" fontId="6" fillId="35" borderId="10" xfId="0" applyNumberFormat="1" applyFont="1" applyFill="1" applyBorder="1" applyAlignment="1" applyProtection="1">
      <alignment horizontal="center" vertical="top"/>
      <protection locked="0"/>
    </xf>
    <xf numFmtId="0" fontId="6" fillId="35" borderId="37" xfId="0" applyFont="1" applyFill="1" applyBorder="1" applyAlignment="1" applyProtection="1">
      <alignment horizontal="center" vertical="top"/>
      <protection locked="0"/>
    </xf>
    <xf numFmtId="1" fontId="6" fillId="35" borderId="10" xfId="0" applyNumberFormat="1" applyFont="1" applyFill="1" applyBorder="1" applyAlignment="1" applyProtection="1">
      <alignment horizontal="center" vertical="top"/>
      <protection locked="0"/>
    </xf>
    <xf numFmtId="0" fontId="6" fillId="35" borderId="35" xfId="0" applyFont="1" applyFill="1" applyBorder="1" applyAlignment="1" applyProtection="1">
      <alignment horizontal="centerContinuous" vertical="top"/>
      <protection locked="0"/>
    </xf>
    <xf numFmtId="2" fontId="6" fillId="35" borderId="12" xfId="0" applyNumberFormat="1" applyFont="1" applyFill="1" applyBorder="1" applyAlignment="1" applyProtection="1">
      <alignment horizontal="center" vertical="top"/>
      <protection locked="0"/>
    </xf>
    <xf numFmtId="0" fontId="6" fillId="35" borderId="19" xfId="0" applyFont="1" applyFill="1" applyBorder="1" applyAlignment="1" applyProtection="1">
      <alignment horizontal="center" vertical="top"/>
      <protection locked="0"/>
    </xf>
    <xf numFmtId="0" fontId="6" fillId="35" borderId="23" xfId="0" applyFont="1" applyFill="1" applyBorder="1" applyAlignment="1" applyProtection="1">
      <alignment horizontal="centerContinuous" vertical="top"/>
      <protection locked="0"/>
    </xf>
    <xf numFmtId="0" fontId="21" fillId="39" borderId="38" xfId="55" applyFont="1" applyFill="1" applyBorder="1" applyAlignment="1" applyProtection="1">
      <alignment vertical="top"/>
      <protection/>
    </xf>
    <xf numFmtId="0" fontId="21" fillId="39" borderId="35" xfId="55" applyFont="1" applyFill="1" applyBorder="1" applyAlignment="1" applyProtection="1">
      <alignment vertical="top"/>
      <protection/>
    </xf>
    <xf numFmtId="1" fontId="6" fillId="35" borderId="10" xfId="0" applyNumberFormat="1" applyFont="1" applyFill="1" applyBorder="1" applyAlignment="1" applyProtection="1">
      <alignment horizontal="center" vertical="top"/>
      <protection locked="0"/>
    </xf>
    <xf numFmtId="0" fontId="6" fillId="35" borderId="35" xfId="0" applyFont="1" applyFill="1" applyBorder="1" applyAlignment="1" applyProtection="1">
      <alignment horizontal="centerContinuous" vertical="top"/>
      <protection locked="0"/>
    </xf>
    <xf numFmtId="2" fontId="21" fillId="35" borderId="51" xfId="55" applyNumberFormat="1" applyFont="1" applyFill="1" applyBorder="1" applyAlignment="1" applyProtection="1">
      <alignment horizontal="center" vertical="top"/>
      <protection locked="0"/>
    </xf>
    <xf numFmtId="0" fontId="21" fillId="39" borderId="23" xfId="55" applyFont="1" applyFill="1" applyBorder="1" applyAlignment="1" applyProtection="1">
      <alignment vertical="top"/>
      <protection/>
    </xf>
    <xf numFmtId="0" fontId="6" fillId="35" borderId="23" xfId="0" applyFont="1" applyFill="1" applyBorder="1" applyAlignment="1" applyProtection="1">
      <alignment horizontal="centerContinuous" vertical="top"/>
      <protection locked="0"/>
    </xf>
    <xf numFmtId="0" fontId="10" fillId="0" borderId="0" xfId="62" applyFont="1" applyFill="1" applyBorder="1" applyAlignment="1">
      <alignment vertical="top"/>
      <protection/>
    </xf>
    <xf numFmtId="0" fontId="52" fillId="0" borderId="0" xfId="0" applyFont="1" applyFill="1" applyAlignment="1" quotePrefix="1">
      <alignment horizontal="left" vertical="top"/>
    </xf>
    <xf numFmtId="0" fontId="52" fillId="0" borderId="0" xfId="0" applyFont="1" applyFill="1" applyAlignment="1">
      <alignment horizontal="left" vertical="top"/>
    </xf>
    <xf numFmtId="0" fontId="6" fillId="39" borderId="55" xfId="61" applyFont="1" applyFill="1" applyBorder="1" applyAlignment="1">
      <alignment horizontal="center" vertical="top"/>
      <protection/>
    </xf>
    <xf numFmtId="0" fontId="10" fillId="39" borderId="31" xfId="0" applyFont="1" applyFill="1" applyBorder="1" applyAlignment="1">
      <alignment horizontal="centerContinuous" vertical="top" wrapText="1"/>
    </xf>
    <xf numFmtId="0" fontId="6" fillId="39" borderId="33" xfId="0" applyFont="1" applyFill="1" applyBorder="1" applyAlignment="1">
      <alignment horizontal="centerContinuous" vertical="top"/>
    </xf>
    <xf numFmtId="0" fontId="6" fillId="39" borderId="27" xfId="0" applyFont="1" applyFill="1" applyBorder="1" applyAlignment="1">
      <alignment horizontal="centerContinuous" vertical="top"/>
    </xf>
    <xf numFmtId="0" fontId="6" fillId="39" borderId="41" xfId="0" applyFont="1" applyFill="1" applyBorder="1" applyAlignment="1">
      <alignment vertical="top"/>
    </xf>
    <xf numFmtId="0" fontId="6" fillId="39" borderId="76" xfId="0" applyFont="1" applyFill="1" applyBorder="1" applyAlignment="1">
      <alignment vertical="top"/>
    </xf>
    <xf numFmtId="0" fontId="6" fillId="39" borderId="42" xfId="0" applyFont="1" applyFill="1" applyBorder="1" applyAlignment="1">
      <alignment vertical="top"/>
    </xf>
    <xf numFmtId="0" fontId="6" fillId="39" borderId="19" xfId="0" applyFont="1" applyFill="1" applyBorder="1" applyAlignment="1">
      <alignment vertical="top"/>
    </xf>
    <xf numFmtId="0" fontId="6" fillId="39" borderId="27" xfId="0" applyFont="1" applyFill="1" applyBorder="1" applyAlignment="1">
      <alignment vertical="top"/>
    </xf>
    <xf numFmtId="165" fontId="6" fillId="35" borderId="41" xfId="0" applyNumberFormat="1" applyFont="1" applyFill="1" applyBorder="1" applyAlignment="1" applyProtection="1">
      <alignment horizontal="center" vertical="top"/>
      <protection locked="0"/>
    </xf>
    <xf numFmtId="0" fontId="6" fillId="39" borderId="38" xfId="62" applyFont="1" applyFill="1" applyBorder="1" applyAlignment="1" applyProtection="1" quotePrefix="1">
      <alignment horizontal="centerContinuous" vertical="top"/>
      <protection/>
    </xf>
    <xf numFmtId="165" fontId="6" fillId="35" borderId="81" xfId="0" applyNumberFormat="1" applyFont="1" applyFill="1" applyBorder="1" applyAlignment="1" applyProtection="1" quotePrefix="1">
      <alignment horizontal="center" vertical="top"/>
      <protection locked="0"/>
    </xf>
    <xf numFmtId="0" fontId="6" fillId="39" borderId="17" xfId="0" applyFont="1" applyFill="1" applyBorder="1" applyAlignment="1">
      <alignment vertical="top"/>
    </xf>
    <xf numFmtId="2" fontId="6" fillId="39" borderId="63" xfId="0" applyNumberFormat="1" applyFont="1" applyFill="1" applyBorder="1" applyAlignment="1">
      <alignment horizontal="center" vertical="top"/>
    </xf>
    <xf numFmtId="164" fontId="6" fillId="35" borderId="41" xfId="0" applyNumberFormat="1" applyFont="1" applyFill="1" applyBorder="1" applyAlignment="1" applyProtection="1">
      <alignment horizontal="center" vertical="top"/>
      <protection locked="0"/>
    </xf>
    <xf numFmtId="164" fontId="6" fillId="35" borderId="76" xfId="0" applyNumberFormat="1" applyFont="1" applyFill="1" applyBorder="1" applyAlignment="1" applyProtection="1">
      <alignment horizontal="center" vertical="top"/>
      <protection locked="0"/>
    </xf>
    <xf numFmtId="164" fontId="6" fillId="39" borderId="84" xfId="0" applyNumberFormat="1" applyFont="1" applyFill="1" applyBorder="1" applyAlignment="1" applyProtection="1">
      <alignment horizontal="center" vertical="top"/>
      <protection/>
    </xf>
    <xf numFmtId="0" fontId="0" fillId="0" borderId="0" xfId="0" applyFont="1" applyFill="1" applyBorder="1" applyAlignment="1">
      <alignment vertical="top"/>
    </xf>
    <xf numFmtId="0" fontId="0" fillId="0" borderId="0" xfId="0" applyFont="1" applyAlignment="1">
      <alignment vertical="top"/>
    </xf>
    <xf numFmtId="164" fontId="21" fillId="39" borderId="74" xfId="55" applyNumberFormat="1" applyFont="1" applyFill="1" applyBorder="1" applyAlignment="1" applyProtection="1">
      <alignment horizontal="center" vertical="top"/>
      <protection/>
    </xf>
    <xf numFmtId="164" fontId="21" fillId="39" borderId="14" xfId="62" applyNumberFormat="1" applyFont="1" applyFill="1" applyBorder="1" applyAlignment="1" applyProtection="1">
      <alignment horizontal="center" vertical="top"/>
      <protection/>
    </xf>
    <xf numFmtId="164" fontId="21" fillId="39" borderId="41" xfId="62" applyNumberFormat="1" applyFont="1" applyFill="1" applyBorder="1" applyAlignment="1" applyProtection="1">
      <alignment horizontal="center" vertical="top"/>
      <protection/>
    </xf>
    <xf numFmtId="164" fontId="21" fillId="39" borderId="42" xfId="55" applyNumberFormat="1" applyFont="1" applyFill="1" applyBorder="1" applyAlignment="1" applyProtection="1">
      <alignment horizontal="center" vertical="top"/>
      <protection/>
    </xf>
    <xf numFmtId="165" fontId="21" fillId="39" borderId="42" xfId="55" applyNumberFormat="1" applyFont="1" applyFill="1" applyBorder="1" applyAlignment="1" applyProtection="1">
      <alignment horizontal="center" vertical="top"/>
      <protection/>
    </xf>
    <xf numFmtId="2" fontId="21" fillId="39" borderId="42" xfId="55" applyNumberFormat="1" applyFont="1" applyFill="1" applyBorder="1" applyAlignment="1" applyProtection="1">
      <alignment horizontal="center" vertical="top"/>
      <protection/>
    </xf>
    <xf numFmtId="165" fontId="21" fillId="39" borderId="51" xfId="55" applyNumberFormat="1" applyFont="1" applyFill="1" applyBorder="1" applyAlignment="1" applyProtection="1">
      <alignment horizontal="center" vertical="top"/>
      <protection/>
    </xf>
    <xf numFmtId="1" fontId="21" fillId="39" borderId="51" xfId="55" applyNumberFormat="1" applyFont="1" applyFill="1" applyBorder="1" applyAlignment="1" applyProtection="1">
      <alignment horizontal="center" vertical="top"/>
      <protection/>
    </xf>
    <xf numFmtId="49" fontId="0" fillId="0" borderId="0" xfId="0" applyNumberFormat="1" applyFont="1" applyAlignment="1">
      <alignment horizontal="right" vertical="top"/>
    </xf>
    <xf numFmtId="0" fontId="0" fillId="0" borderId="85" xfId="0" applyFill="1" applyBorder="1" applyAlignment="1">
      <alignment vertical="top"/>
    </xf>
    <xf numFmtId="0" fontId="6" fillId="0" borderId="86" xfId="0" applyFont="1" applyFill="1" applyBorder="1" applyAlignment="1">
      <alignment vertical="top"/>
    </xf>
    <xf numFmtId="0" fontId="0" fillId="0" borderId="87" xfId="0" applyFill="1" applyBorder="1" applyAlignment="1">
      <alignment vertical="top"/>
    </xf>
    <xf numFmtId="0" fontId="6" fillId="0" borderId="0" xfId="0" applyFont="1" applyFill="1" applyBorder="1" applyAlignment="1">
      <alignment vertical="top"/>
    </xf>
    <xf numFmtId="0" fontId="0" fillId="0" borderId="88" xfId="0" applyFill="1" applyBorder="1" applyAlignment="1">
      <alignment vertical="top"/>
    </xf>
    <xf numFmtId="0" fontId="0" fillId="0" borderId="0" xfId="0" applyFill="1" applyBorder="1" applyAlignment="1">
      <alignment vertical="top"/>
    </xf>
    <xf numFmtId="0" fontId="0" fillId="0" borderId="89" xfId="0" applyFill="1" applyBorder="1" applyAlignment="1">
      <alignment vertical="top"/>
    </xf>
    <xf numFmtId="0" fontId="6" fillId="0" borderId="90" xfId="0" applyFont="1" applyFill="1" applyBorder="1" applyAlignment="1">
      <alignment vertical="top"/>
    </xf>
    <xf numFmtId="0" fontId="0" fillId="0" borderId="91" xfId="0" applyFill="1" applyBorder="1" applyAlignment="1">
      <alignment vertical="top"/>
    </xf>
    <xf numFmtId="0" fontId="0" fillId="0" borderId="34" xfId="0" applyBorder="1" applyAlignment="1">
      <alignment vertical="top"/>
    </xf>
    <xf numFmtId="0" fontId="0" fillId="0" borderId="34" xfId="0" applyFont="1" applyBorder="1" applyAlignment="1">
      <alignment vertical="top"/>
    </xf>
    <xf numFmtId="0" fontId="4" fillId="0" borderId="34" xfId="0" applyFont="1" applyFill="1" applyBorder="1" applyAlignment="1">
      <alignment vertical="top"/>
    </xf>
    <xf numFmtId="49" fontId="4" fillId="0" borderId="34" xfId="0" applyNumberFormat="1" applyFont="1" applyFill="1" applyBorder="1" applyAlignment="1">
      <alignment horizontal="right" vertical="top"/>
    </xf>
    <xf numFmtId="0" fontId="0" fillId="0" borderId="34" xfId="0" applyFont="1" applyFill="1" applyBorder="1" applyAlignment="1">
      <alignment vertical="top"/>
    </xf>
    <xf numFmtId="0" fontId="0" fillId="0" borderId="34" xfId="0" applyFont="1" applyFill="1" applyBorder="1" applyAlignment="1">
      <alignment horizontal="left" vertical="top"/>
    </xf>
    <xf numFmtId="0" fontId="0" fillId="0" borderId="34" xfId="0" applyFill="1" applyBorder="1" applyAlignment="1">
      <alignment vertical="top"/>
    </xf>
    <xf numFmtId="0" fontId="0" fillId="0" borderId="34" xfId="0" applyFont="1" applyFill="1" applyBorder="1" applyAlignment="1">
      <alignment vertical="top"/>
    </xf>
    <xf numFmtId="49" fontId="0" fillId="0" borderId="34" xfId="0" applyNumberFormat="1" applyFont="1" applyBorder="1" applyAlignment="1">
      <alignment horizontal="right" vertical="top"/>
    </xf>
    <xf numFmtId="0" fontId="0" fillId="0" borderId="34" xfId="0" applyFont="1" applyFill="1" applyBorder="1" applyAlignment="1">
      <alignment horizontal="left" vertical="top"/>
    </xf>
    <xf numFmtId="0" fontId="0" fillId="0" borderId="34" xfId="0" applyFont="1" applyBorder="1" applyAlignment="1">
      <alignment vertical="top"/>
    </xf>
    <xf numFmtId="0" fontId="52" fillId="0" borderId="34" xfId="0" applyFont="1" applyFill="1" applyBorder="1" applyAlignment="1">
      <alignment vertical="top"/>
    </xf>
    <xf numFmtId="0" fontId="0" fillId="0" borderId="34" xfId="0" applyFont="1" applyFill="1" applyBorder="1" applyAlignment="1" quotePrefix="1">
      <alignment horizontal="left" vertical="top"/>
    </xf>
    <xf numFmtId="49" fontId="0" fillId="0" borderId="34" xfId="0" applyNumberFormat="1" applyFont="1" applyBorder="1" applyAlignment="1">
      <alignment horizontal="right" vertical="top"/>
    </xf>
    <xf numFmtId="0" fontId="0" fillId="0" borderId="34" xfId="0" applyFont="1" applyFill="1" applyBorder="1" applyAlignment="1" quotePrefix="1">
      <alignment horizontal="left" vertical="top"/>
    </xf>
    <xf numFmtId="0" fontId="0" fillId="0" borderId="34" xfId="62" applyFont="1" applyFill="1" applyBorder="1" applyAlignment="1" applyProtection="1">
      <alignment vertical="top"/>
      <protection/>
    </xf>
    <xf numFmtId="49" fontId="0" fillId="0" borderId="34" xfId="0" applyNumberFormat="1" applyFont="1" applyFill="1" applyBorder="1" applyAlignment="1">
      <alignment horizontal="right" vertical="top"/>
    </xf>
    <xf numFmtId="0" fontId="0" fillId="0" borderId="34" xfId="62" applyFont="1" applyFill="1" applyBorder="1" applyAlignment="1">
      <alignment vertical="top"/>
      <protection/>
    </xf>
    <xf numFmtId="0" fontId="0" fillId="0" borderId="34" xfId="62" applyFont="1" applyFill="1" applyBorder="1" applyAlignment="1" applyProtection="1">
      <alignment vertical="top"/>
      <protection locked="0"/>
    </xf>
    <xf numFmtId="0" fontId="0" fillId="0" borderId="34" xfId="62" applyFont="1" applyFill="1" applyBorder="1" applyAlignment="1" applyProtection="1">
      <alignment horizontal="left" vertical="top"/>
      <protection/>
    </xf>
    <xf numFmtId="49" fontId="0" fillId="0" borderId="34" xfId="62" applyNumberFormat="1" applyFont="1" applyFill="1" applyBorder="1" applyAlignment="1" applyProtection="1" quotePrefix="1">
      <alignment horizontal="left" vertical="top"/>
      <protection/>
    </xf>
    <xf numFmtId="49" fontId="0" fillId="0" borderId="34" xfId="0" applyNumberFormat="1" applyFont="1" applyBorder="1" applyAlignment="1">
      <alignment horizontal="right" vertical="top"/>
    </xf>
    <xf numFmtId="0" fontId="0" fillId="0" borderId="34" xfId="62" applyFont="1" applyFill="1" applyBorder="1" applyAlignment="1" applyProtection="1" quotePrefix="1">
      <alignment horizontal="left" vertical="top"/>
      <protection/>
    </xf>
    <xf numFmtId="165" fontId="0" fillId="0" borderId="34" xfId="62" applyNumberFormat="1" applyFont="1" applyFill="1" applyBorder="1" applyAlignment="1" applyProtection="1" quotePrefix="1">
      <alignment horizontal="left" vertical="top"/>
      <protection/>
    </xf>
    <xf numFmtId="0" fontId="0" fillId="0" borderId="34" xfId="0" applyFont="1" applyFill="1" applyBorder="1" applyAlignment="1">
      <alignment horizontal="left" vertical="top"/>
    </xf>
    <xf numFmtId="0" fontId="52" fillId="0" borderId="34" xfId="0" applyFont="1" applyFill="1" applyBorder="1" applyAlignment="1" quotePrefix="1">
      <alignment horizontal="left" vertical="top"/>
    </xf>
    <xf numFmtId="0" fontId="0" fillId="0" borderId="34" xfId="62" applyFont="1" applyFill="1" applyBorder="1" applyAlignment="1">
      <alignment horizontal="left" vertical="top"/>
      <protection/>
    </xf>
    <xf numFmtId="12" fontId="0" fillId="0" borderId="34" xfId="62" applyNumberFormat="1" applyFont="1" applyFill="1" applyBorder="1" applyAlignment="1" applyProtection="1">
      <alignment horizontal="left" vertical="top"/>
      <protection/>
    </xf>
    <xf numFmtId="12" fontId="0" fillId="0" borderId="34" xfId="62" applyNumberFormat="1" applyFont="1" applyFill="1" applyBorder="1" applyAlignment="1" applyProtection="1" quotePrefix="1">
      <alignment horizontal="left" vertical="top"/>
      <protection/>
    </xf>
    <xf numFmtId="0" fontId="0" fillId="0" borderId="34" xfId="0" applyFont="1" applyFill="1" applyBorder="1" applyAlignment="1">
      <alignment horizontal="left" vertical="top"/>
    </xf>
    <xf numFmtId="0" fontId="0" fillId="0" borderId="34" xfId="0" applyFont="1" applyFill="1" applyBorder="1" applyAlignment="1">
      <alignment vertical="top"/>
    </xf>
    <xf numFmtId="49" fontId="0" fillId="0" borderId="34" xfId="0" applyNumberFormat="1" applyFont="1" applyBorder="1" applyAlignment="1">
      <alignment horizontal="right" vertical="top"/>
    </xf>
    <xf numFmtId="0" fontId="0" fillId="0" borderId="34" xfId="0" applyFont="1" applyBorder="1" applyAlignment="1">
      <alignment vertical="top"/>
    </xf>
    <xf numFmtId="0" fontId="52" fillId="0" borderId="34" xfId="0" applyFont="1" applyFill="1" applyBorder="1" applyAlignment="1">
      <alignment horizontal="left" vertical="top"/>
    </xf>
    <xf numFmtId="0" fontId="0" fillId="0" borderId="34" xfId="61" applyFont="1" applyFill="1" applyBorder="1" applyAlignment="1" applyProtection="1">
      <alignment vertical="top"/>
      <protection/>
    </xf>
    <xf numFmtId="0" fontId="0" fillId="0" borderId="34" xfId="0" applyFont="1" applyFill="1" applyBorder="1" applyAlignment="1">
      <alignment horizontal="left" vertical="top"/>
    </xf>
    <xf numFmtId="0" fontId="56" fillId="0" borderId="34" xfId="0" applyFont="1" applyFill="1" applyBorder="1" applyAlignment="1">
      <alignment vertical="top"/>
    </xf>
    <xf numFmtId="0" fontId="0" fillId="0" borderId="34" xfId="0" applyFont="1" applyFill="1" applyBorder="1" applyAlignment="1">
      <alignment vertical="top"/>
    </xf>
    <xf numFmtId="49" fontId="0" fillId="0" borderId="34" xfId="61" applyNumberFormat="1" applyFont="1" applyFill="1" applyBorder="1" applyAlignment="1" applyProtection="1">
      <alignment horizontal="right" vertical="top"/>
      <protection/>
    </xf>
    <xf numFmtId="0" fontId="0" fillId="0" borderId="34" xfId="61" applyFont="1" applyFill="1" applyBorder="1" applyAlignment="1" applyProtection="1" quotePrefix="1">
      <alignment horizontal="left" vertical="top"/>
      <protection/>
    </xf>
    <xf numFmtId="0" fontId="0" fillId="0" borderId="34" xfId="0" applyFont="1" applyBorder="1" applyAlignment="1" quotePrefix="1">
      <alignment horizontal="left" vertical="top"/>
    </xf>
    <xf numFmtId="0" fontId="53" fillId="0" borderId="34" xfId="0" applyFont="1" applyFill="1" applyBorder="1" applyAlignment="1" quotePrefix="1">
      <alignment horizontal="left" vertical="top"/>
    </xf>
    <xf numFmtId="0" fontId="3" fillId="0" borderId="34" xfId="55" applyFont="1" applyFill="1" applyBorder="1" applyAlignment="1" applyProtection="1">
      <alignment vertical="top"/>
      <protection/>
    </xf>
    <xf numFmtId="0" fontId="3" fillId="0" borderId="34" xfId="62" applyFont="1" applyFill="1" applyBorder="1" applyAlignment="1" applyProtection="1">
      <alignment vertical="top"/>
      <protection/>
    </xf>
    <xf numFmtId="49" fontId="3" fillId="0" borderId="34" xfId="55" applyNumberFormat="1" applyFont="1" applyFill="1" applyBorder="1" applyAlignment="1" applyProtection="1">
      <alignment horizontal="right" vertical="top"/>
      <protection/>
    </xf>
    <xf numFmtId="0" fontId="3" fillId="0" borderId="34" xfId="55" applyFont="1" applyFill="1" applyBorder="1" applyAlignment="1" applyProtection="1" quotePrefix="1">
      <alignment horizontal="left" vertical="top"/>
      <protection/>
    </xf>
    <xf numFmtId="0" fontId="0" fillId="0" borderId="34" xfId="0" applyFont="1" applyBorder="1" applyAlignment="1">
      <alignment vertical="top"/>
    </xf>
    <xf numFmtId="0" fontId="0" fillId="0" borderId="86" xfId="0" applyFill="1" applyBorder="1" applyAlignment="1">
      <alignment vertical="top"/>
    </xf>
    <xf numFmtId="0" fontId="2" fillId="0" borderId="0" xfId="0" applyFont="1" applyAlignment="1">
      <alignment horizontal="center" vertical="top"/>
    </xf>
    <xf numFmtId="0" fontId="0" fillId="0" borderId="0" xfId="0" applyAlignment="1">
      <alignment vertical="top" wrapText="1"/>
    </xf>
    <xf numFmtId="0" fontId="58" fillId="40" borderId="0" xfId="0" applyFont="1" applyFill="1" applyAlignment="1">
      <alignment horizontal="center" vertical="top"/>
    </xf>
    <xf numFmtId="0" fontId="58" fillId="40" borderId="0" xfId="0" applyFont="1" applyFill="1" applyAlignment="1">
      <alignment vertical="top" wrapText="1"/>
    </xf>
    <xf numFmtId="14" fontId="0" fillId="0" borderId="0" xfId="0" applyNumberFormat="1" applyAlignment="1">
      <alignment horizontal="center" vertical="top"/>
    </xf>
    <xf numFmtId="0" fontId="0" fillId="0" borderId="0" xfId="0" applyAlignment="1" quotePrefix="1">
      <alignment horizontal="left" vertical="top" wrapText="1"/>
    </xf>
    <xf numFmtId="0" fontId="0" fillId="0" borderId="0" xfId="0" applyAlignment="1">
      <alignment horizontal="center" vertical="top"/>
    </xf>
    <xf numFmtId="0" fontId="2" fillId="0" borderId="0" xfId="0" applyFont="1" applyFill="1" applyBorder="1" applyAlignment="1">
      <alignment horizontal="right" vertical="top"/>
    </xf>
    <xf numFmtId="0" fontId="59" fillId="0" borderId="34" xfId="0" applyFont="1" applyBorder="1" applyAlignment="1">
      <alignment horizontal="center" vertical="top"/>
    </xf>
    <xf numFmtId="0" fontId="59" fillId="0" borderId="34" xfId="0" applyFont="1" applyFill="1" applyBorder="1" applyAlignment="1">
      <alignment horizontal="center" vertical="top"/>
    </xf>
    <xf numFmtId="0" fontId="59" fillId="37" borderId="34" xfId="0" applyFont="1" applyFill="1" applyBorder="1" applyAlignment="1">
      <alignment horizontal="center" vertical="top"/>
    </xf>
    <xf numFmtId="0" fontId="59" fillId="41" borderId="73" xfId="0" applyFont="1" applyFill="1" applyBorder="1" applyAlignment="1">
      <alignment vertical="top"/>
    </xf>
    <xf numFmtId="0" fontId="59" fillId="41" borderId="34" xfId="0" applyFont="1" applyFill="1" applyBorder="1" applyAlignment="1">
      <alignment vertical="top"/>
    </xf>
    <xf numFmtId="0" fontId="59" fillId="0" borderId="73" xfId="0" applyFont="1" applyFill="1" applyBorder="1" applyAlignment="1">
      <alignment vertical="top"/>
    </xf>
    <xf numFmtId="0" fontId="59" fillId="0" borderId="34" xfId="0" applyFont="1" applyFill="1" applyBorder="1" applyAlignment="1">
      <alignment vertical="top"/>
    </xf>
    <xf numFmtId="0" fontId="0" fillId="0" borderId="0" xfId="0" applyFont="1" applyFill="1" applyAlignment="1">
      <alignment/>
    </xf>
    <xf numFmtId="0" fontId="2" fillId="0" borderId="0" xfId="0" applyFont="1" applyAlignment="1">
      <alignment horizontal="right" vertical="top"/>
    </xf>
    <xf numFmtId="0" fontId="59" fillId="40" borderId="73" xfId="0" applyFont="1" applyFill="1" applyBorder="1" applyAlignment="1" quotePrefix="1">
      <alignment horizontal="left" vertical="top" wrapText="1"/>
    </xf>
    <xf numFmtId="0" fontId="59" fillId="0" borderId="34" xfId="0" applyFont="1" applyBorder="1" applyAlignment="1">
      <alignment vertical="top" wrapText="1"/>
    </xf>
    <xf numFmtId="0" fontId="0" fillId="0" borderId="34" xfId="0" applyFont="1" applyFill="1" applyBorder="1" applyAlignment="1" quotePrefix="1">
      <alignment horizontal="left" vertical="top" wrapText="1"/>
    </xf>
    <xf numFmtId="0" fontId="59" fillId="37" borderId="34" xfId="0" applyFont="1" applyFill="1" applyBorder="1" applyAlignment="1">
      <alignment vertical="top" wrapText="1"/>
    </xf>
    <xf numFmtId="0" fontId="59" fillId="0" borderId="34" xfId="0" applyFont="1" applyBorder="1" applyAlignment="1" quotePrefix="1">
      <alignment horizontal="left" vertical="top" wrapText="1"/>
    </xf>
    <xf numFmtId="0" fontId="60" fillId="37" borderId="34" xfId="0" applyFont="1" applyFill="1" applyBorder="1" applyAlignment="1">
      <alignment vertical="top" wrapText="1"/>
    </xf>
    <xf numFmtId="0" fontId="59" fillId="0" borderId="34" xfId="0" applyFont="1" applyFill="1" applyBorder="1" applyAlignment="1">
      <alignment vertical="top" wrapText="1"/>
    </xf>
    <xf numFmtId="0" fontId="0" fillId="0" borderId="0" xfId="0" applyFont="1" applyAlignment="1">
      <alignment wrapText="1"/>
    </xf>
    <xf numFmtId="0" fontId="52" fillId="0" borderId="34" xfId="0" applyFont="1" applyBorder="1" applyAlignment="1">
      <alignment vertical="top" wrapText="1"/>
    </xf>
    <xf numFmtId="0" fontId="59" fillId="37" borderId="34" xfId="0" applyFont="1" applyFill="1" applyBorder="1" applyAlignment="1" quotePrefix="1">
      <alignment horizontal="left" vertical="top" wrapText="1"/>
    </xf>
    <xf numFmtId="0" fontId="59" fillId="0" borderId="34" xfId="0" applyFont="1" applyFill="1" applyBorder="1" applyAlignment="1" quotePrefix="1">
      <alignment horizontal="left" vertical="top" wrapText="1"/>
    </xf>
    <xf numFmtId="0" fontId="61" fillId="0" borderId="34" xfId="0" applyFont="1" applyBorder="1" applyAlignment="1" quotePrefix="1">
      <alignment horizontal="left" vertical="top" wrapText="1"/>
    </xf>
    <xf numFmtId="0" fontId="59" fillId="0" borderId="80" xfId="0" applyFont="1" applyBorder="1" applyAlignment="1">
      <alignment vertical="top" wrapText="1"/>
    </xf>
    <xf numFmtId="0" fontId="63" fillId="37" borderId="34" xfId="0" applyFont="1" applyFill="1" applyBorder="1" applyAlignment="1" quotePrefix="1">
      <alignment horizontal="left" vertical="top" wrapText="1"/>
    </xf>
    <xf numFmtId="0" fontId="2" fillId="0" borderId="92" xfId="0" applyFont="1" applyFill="1" applyBorder="1" applyAlignment="1">
      <alignment horizontal="right" vertical="top"/>
    </xf>
    <xf numFmtId="0" fontId="2" fillId="42" borderId="93" xfId="0" applyFont="1" applyFill="1" applyBorder="1" applyAlignment="1" quotePrefix="1">
      <alignment horizontal="center" wrapText="1"/>
    </xf>
    <xf numFmtId="0" fontId="2" fillId="37" borderId="93" xfId="0" applyFont="1" applyFill="1" applyBorder="1" applyAlignment="1">
      <alignment horizontal="center" wrapText="1"/>
    </xf>
    <xf numFmtId="0" fontId="2" fillId="42" borderId="93" xfId="0" applyFont="1" applyFill="1" applyBorder="1" applyAlignment="1">
      <alignment horizontal="center" wrapText="1"/>
    </xf>
    <xf numFmtId="0" fontId="2" fillId="37" borderId="93" xfId="0" applyFont="1" applyFill="1" applyBorder="1" applyAlignment="1" quotePrefix="1">
      <alignment horizontal="center" wrapText="1"/>
    </xf>
    <xf numFmtId="0" fontId="53" fillId="0" borderId="92" xfId="0" applyFont="1" applyFill="1" applyBorder="1" applyAlignment="1" quotePrefix="1">
      <alignment horizontal="left" vertical="top" wrapText="1"/>
    </xf>
    <xf numFmtId="0" fontId="64" fillId="0" borderId="0" xfId="0" applyFont="1" applyAlignment="1">
      <alignment horizontal="left" vertical="top"/>
    </xf>
    <xf numFmtId="0" fontId="0" fillId="0" borderId="34" xfId="0" applyFont="1" applyFill="1" applyBorder="1" applyAlignment="1">
      <alignment horizontal="center" vertical="top"/>
    </xf>
    <xf numFmtId="0" fontId="0" fillId="37" borderId="34" xfId="0" applyFont="1" applyFill="1" applyBorder="1" applyAlignment="1">
      <alignment horizontal="center" vertical="top"/>
    </xf>
    <xf numFmtId="0" fontId="0" fillId="42" borderId="34" xfId="0" applyFont="1" applyFill="1" applyBorder="1" applyAlignment="1">
      <alignment vertical="top"/>
    </xf>
    <xf numFmtId="49" fontId="0" fillId="42" borderId="34" xfId="0" applyNumberFormat="1" applyFont="1" applyFill="1" applyBorder="1" applyAlignment="1">
      <alignment vertical="top"/>
    </xf>
    <xf numFmtId="49" fontId="0" fillId="0" borderId="80" xfId="0" applyNumberFormat="1" applyFont="1" applyFill="1" applyBorder="1" applyAlignment="1">
      <alignment vertical="top"/>
    </xf>
    <xf numFmtId="0" fontId="0" fillId="0" borderId="80" xfId="0" applyFont="1" applyFill="1" applyBorder="1" applyAlignment="1">
      <alignment vertical="top"/>
    </xf>
    <xf numFmtId="0" fontId="0" fillId="0" borderId="78" xfId="0" applyFill="1" applyBorder="1" applyAlignment="1">
      <alignment vertical="top"/>
    </xf>
    <xf numFmtId="0" fontId="0" fillId="37" borderId="34" xfId="0" applyFill="1" applyBorder="1" applyAlignment="1">
      <alignment vertical="top"/>
    </xf>
    <xf numFmtId="0" fontId="0" fillId="0" borderId="94" xfId="0" applyBorder="1" applyAlignment="1">
      <alignment/>
    </xf>
    <xf numFmtId="0" fontId="53" fillId="38" borderId="95" xfId="0" applyFont="1" applyFill="1" applyBorder="1" applyAlignment="1">
      <alignment horizontal="centerContinuous" vertical="center" wrapText="1"/>
    </xf>
    <xf numFmtId="0" fontId="0" fillId="38" borderId="93" xfId="0" applyFill="1" applyBorder="1" applyAlignment="1">
      <alignment horizontal="centerContinuous" vertical="center" wrapText="1"/>
    </xf>
    <xf numFmtId="0" fontId="0" fillId="38" borderId="96" xfId="0" applyFill="1" applyBorder="1" applyAlignment="1">
      <alignment horizontal="centerContinuous" vertical="center" wrapText="1"/>
    </xf>
    <xf numFmtId="0" fontId="0" fillId="0" borderId="78" xfId="0" applyFont="1" applyFill="1" applyBorder="1" applyAlignment="1">
      <alignment vertical="top" wrapText="1"/>
    </xf>
    <xf numFmtId="0" fontId="0" fillId="37" borderId="80" xfId="0" applyFont="1" applyFill="1" applyBorder="1" applyAlignment="1">
      <alignment vertical="top" wrapText="1"/>
    </xf>
    <xf numFmtId="0" fontId="0" fillId="0" borderId="73" xfId="0" applyFont="1" applyBorder="1" applyAlignment="1">
      <alignment horizontal="center" vertical="top"/>
    </xf>
    <xf numFmtId="0" fontId="0" fillId="0" borderId="34" xfId="0" applyFont="1" applyBorder="1" applyAlignment="1">
      <alignment horizontal="center" vertical="top"/>
    </xf>
    <xf numFmtId="0" fontId="0" fillId="37" borderId="80" xfId="0" applyFont="1" applyFill="1" applyBorder="1" applyAlignment="1">
      <alignment horizontal="center" vertical="top"/>
    </xf>
    <xf numFmtId="0" fontId="0" fillId="37" borderId="73" xfId="0" applyFont="1" applyFill="1" applyBorder="1" applyAlignment="1">
      <alignment vertical="top"/>
    </xf>
    <xf numFmtId="0" fontId="0" fillId="37" borderId="34" xfId="0" applyFont="1" applyFill="1" applyBorder="1" applyAlignment="1">
      <alignment vertical="top"/>
    </xf>
    <xf numFmtId="0" fontId="0" fillId="37" borderId="80" xfId="0" applyFont="1" applyFill="1" applyBorder="1" applyAlignment="1">
      <alignment vertical="top"/>
    </xf>
    <xf numFmtId="0" fontId="0" fillId="0" borderId="80" xfId="0" applyFont="1" applyBorder="1" applyAlignment="1">
      <alignment vertical="top"/>
    </xf>
    <xf numFmtId="0" fontId="0" fillId="0" borderId="34" xfId="0" applyFont="1" applyBorder="1" applyAlignment="1">
      <alignment vertical="top" wrapText="1"/>
    </xf>
    <xf numFmtId="0" fontId="59" fillId="43" borderId="34" xfId="0" applyFont="1" applyFill="1" applyBorder="1" applyAlignment="1">
      <alignment vertical="top"/>
    </xf>
    <xf numFmtId="0" fontId="0" fillId="44" borderId="34" xfId="0" applyFont="1" applyFill="1" applyBorder="1" applyAlignment="1">
      <alignment vertical="top"/>
    </xf>
    <xf numFmtId="0" fontId="0" fillId="0" borderId="34" xfId="0" applyBorder="1" applyAlignment="1">
      <alignment vertical="top" wrapText="1"/>
    </xf>
    <xf numFmtId="0" fontId="0" fillId="37" borderId="34" xfId="0" applyFill="1" applyBorder="1" applyAlignment="1">
      <alignment vertical="top" wrapText="1"/>
    </xf>
    <xf numFmtId="0" fontId="0" fillId="0" borderId="34" xfId="0" applyFont="1" applyFill="1" applyBorder="1" applyAlignment="1">
      <alignment vertical="top" wrapText="1"/>
    </xf>
    <xf numFmtId="0" fontId="0" fillId="37" borderId="34" xfId="0" applyFont="1" applyFill="1" applyBorder="1" applyAlignment="1">
      <alignment vertical="top" wrapText="1"/>
    </xf>
    <xf numFmtId="0" fontId="2" fillId="42" borderId="97" xfId="0" applyFont="1" applyFill="1" applyBorder="1" applyAlignment="1" quotePrefix="1">
      <alignment horizontal="center" wrapText="1"/>
    </xf>
    <xf numFmtId="0" fontId="64" fillId="0" borderId="0" xfId="0" applyFont="1" applyAlignment="1">
      <alignment/>
    </xf>
    <xf numFmtId="0" fontId="0" fillId="45" borderId="34" xfId="0" applyFont="1" applyFill="1" applyBorder="1" applyAlignment="1">
      <alignment vertical="top"/>
    </xf>
    <xf numFmtId="0" fontId="48" fillId="37" borderId="34" xfId="0" applyFont="1" applyFill="1" applyBorder="1" applyAlignment="1" quotePrefix="1">
      <alignment horizontal="left" vertical="top" wrapText="1"/>
    </xf>
    <xf numFmtId="0" fontId="0" fillId="37" borderId="78" xfId="0" applyFill="1" applyBorder="1" applyAlignment="1">
      <alignment vertical="top" wrapText="1"/>
    </xf>
    <xf numFmtId="0" fontId="0" fillId="0" borderId="34" xfId="0" applyFill="1" applyBorder="1" applyAlignment="1">
      <alignment vertical="top" wrapText="1"/>
    </xf>
    <xf numFmtId="0" fontId="59" fillId="37" borderId="73" xfId="0" applyFont="1" applyFill="1" applyBorder="1" applyAlignment="1" quotePrefix="1">
      <alignment horizontal="left" vertical="top" wrapText="1"/>
    </xf>
    <xf numFmtId="0" fontId="0" fillId="37" borderId="73" xfId="0" applyFont="1" applyFill="1" applyBorder="1" applyAlignment="1" quotePrefix="1">
      <alignment horizontal="left" vertical="top" wrapText="1"/>
    </xf>
    <xf numFmtId="0" fontId="0" fillId="0" borderId="34" xfId="0" applyNumberFormat="1" applyFont="1" applyBorder="1" applyAlignment="1">
      <alignment horizontal="center" vertical="top"/>
    </xf>
    <xf numFmtId="0" fontId="0" fillId="37" borderId="34" xfId="0" applyNumberFormat="1" applyFont="1" applyFill="1" applyBorder="1" applyAlignment="1">
      <alignment vertical="top"/>
    </xf>
    <xf numFmtId="0" fontId="0" fillId="0" borderId="34" xfId="0" applyNumberFormat="1" applyFont="1" applyFill="1" applyBorder="1" applyAlignment="1">
      <alignment vertical="top"/>
    </xf>
    <xf numFmtId="0" fontId="52" fillId="0" borderId="34" xfId="0" applyNumberFormat="1" applyFont="1" applyBorder="1" applyAlignment="1">
      <alignment vertical="top" wrapText="1"/>
    </xf>
    <xf numFmtId="0" fontId="61" fillId="0" borderId="34" xfId="0" applyFont="1" applyFill="1" applyBorder="1" applyAlignment="1" quotePrefix="1">
      <alignment horizontal="left" vertical="top" wrapText="1"/>
    </xf>
    <xf numFmtId="0" fontId="2" fillId="42" borderId="93" xfId="0" applyNumberFormat="1" applyFont="1" applyFill="1" applyBorder="1" applyAlignment="1">
      <alignment horizontal="center" wrapText="1"/>
    </xf>
    <xf numFmtId="0" fontId="64" fillId="0" borderId="0" xfId="0" applyFont="1" applyAlignment="1" quotePrefix="1">
      <alignment horizontal="left"/>
    </xf>
    <xf numFmtId="49" fontId="0" fillId="42" borderId="34" xfId="0" applyNumberFormat="1" applyFont="1" applyFill="1" applyBorder="1" applyAlignment="1">
      <alignment/>
    </xf>
    <xf numFmtId="0" fontId="59" fillId="46" borderId="34" xfId="0" applyFont="1" applyFill="1" applyBorder="1" applyAlignment="1">
      <alignment vertical="top"/>
    </xf>
    <xf numFmtId="0" fontId="59" fillId="37" borderId="34" xfId="0" applyFont="1" applyFill="1" applyBorder="1" applyAlignment="1">
      <alignment vertical="top"/>
    </xf>
    <xf numFmtId="0" fontId="60" fillId="0" borderId="34"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3" fillId="0" borderId="0" xfId="0" applyFont="1" applyFill="1" applyBorder="1" applyAlignment="1" quotePrefix="1">
      <alignment horizontal="left" vertical="top" wrapText="1"/>
    </xf>
    <xf numFmtId="0" fontId="64" fillId="0" borderId="0" xfId="0" applyFont="1" applyAlignment="1" quotePrefix="1">
      <alignment horizontal="left" vertical="top"/>
    </xf>
    <xf numFmtId="0" fontId="0" fillId="0" borderId="0" xfId="0" applyFont="1" applyAlignment="1" quotePrefix="1">
      <alignment horizontal="left"/>
    </xf>
    <xf numFmtId="0" fontId="68" fillId="0" borderId="34" xfId="0" applyFont="1" applyFill="1" applyBorder="1" applyAlignment="1">
      <alignment horizontal="left" vertical="top" wrapText="1"/>
    </xf>
    <xf numFmtId="0" fontId="67" fillId="0" borderId="0" xfId="0" applyFont="1" applyFill="1" applyAlignment="1">
      <alignment vertical="top" wrapText="1"/>
    </xf>
    <xf numFmtId="49" fontId="0" fillId="0" borderId="34" xfId="0" applyNumberFormat="1" applyFont="1" applyFill="1" applyBorder="1" applyAlignment="1">
      <alignment horizontal="right" vertical="top"/>
    </xf>
    <xf numFmtId="49" fontId="0" fillId="42" borderId="34" xfId="0" applyNumberFormat="1" applyFont="1" applyFill="1" applyBorder="1" applyAlignment="1">
      <alignment horizontal="right"/>
    </xf>
    <xf numFmtId="49" fontId="2" fillId="0" borderId="80" xfId="0" applyNumberFormat="1" applyFont="1" applyFill="1" applyBorder="1" applyAlignment="1">
      <alignment horizontal="center" vertical="top"/>
    </xf>
    <xf numFmtId="49" fontId="2" fillId="0" borderId="80" xfId="0" applyNumberFormat="1" applyFont="1" applyFill="1" applyBorder="1" applyAlignment="1" quotePrefix="1">
      <alignment horizontal="center" vertical="top"/>
    </xf>
    <xf numFmtId="0" fontId="2" fillId="0" borderId="80" xfId="0" applyFont="1" applyFill="1" applyBorder="1" applyAlignment="1">
      <alignment horizontal="center" vertical="top"/>
    </xf>
    <xf numFmtId="0" fontId="2" fillId="0" borderId="60" xfId="0" applyFont="1" applyFill="1" applyBorder="1" applyAlignment="1">
      <alignment horizontal="center" vertical="top"/>
    </xf>
    <xf numFmtId="49" fontId="2" fillId="0" borderId="98" xfId="0" applyNumberFormat="1" applyFont="1" applyFill="1" applyBorder="1" applyAlignment="1">
      <alignment horizontal="center" vertical="top"/>
    </xf>
    <xf numFmtId="0" fontId="2" fillId="0" borderId="98" xfId="0" applyFont="1" applyFill="1" applyBorder="1" applyAlignment="1">
      <alignment horizontal="center" vertical="top"/>
    </xf>
    <xf numFmtId="0" fontId="2" fillId="0" borderId="92" xfId="0" applyFont="1" applyFill="1" applyBorder="1" applyAlignment="1">
      <alignment horizontal="center" vertical="top"/>
    </xf>
    <xf numFmtId="49" fontId="2" fillId="0" borderId="73" xfId="0" applyNumberFormat="1" applyFont="1" applyFill="1" applyBorder="1" applyAlignment="1">
      <alignment horizontal="center" vertical="top"/>
    </xf>
    <xf numFmtId="0" fontId="48" fillId="0" borderId="73" xfId="0" applyFont="1" applyFill="1" applyBorder="1" applyAlignment="1" quotePrefix="1">
      <alignment horizontal="center" vertical="top"/>
    </xf>
    <xf numFmtId="0" fontId="2" fillId="0" borderId="10" xfId="0" applyFont="1" applyFill="1" applyBorder="1" applyAlignment="1">
      <alignment horizontal="center" vertical="top"/>
    </xf>
    <xf numFmtId="0" fontId="2" fillId="0" borderId="34" xfId="0" applyFont="1" applyFill="1" applyBorder="1" applyAlignment="1" quotePrefix="1">
      <alignment horizontal="left" vertical="top"/>
    </xf>
    <xf numFmtId="0" fontId="0" fillId="0" borderId="34" xfId="0" applyFont="1" applyFill="1" applyBorder="1" applyAlignment="1" quotePrefix="1">
      <alignment horizontal="left" vertical="top"/>
    </xf>
    <xf numFmtId="0" fontId="0" fillId="47" borderId="34" xfId="0" applyFill="1" applyBorder="1" applyAlignment="1">
      <alignment vertical="top"/>
    </xf>
    <xf numFmtId="0" fontId="0" fillId="48" borderId="99" xfId="0" applyFont="1" applyFill="1" applyBorder="1" applyAlignment="1">
      <alignment vertical="top"/>
    </xf>
    <xf numFmtId="0" fontId="0" fillId="48" borderId="99" xfId="0" applyFill="1" applyBorder="1" applyAlignment="1">
      <alignment vertical="top"/>
    </xf>
    <xf numFmtId="0" fontId="0" fillId="37" borderId="34" xfId="0" applyFont="1" applyFill="1" applyBorder="1" applyAlignment="1">
      <alignment vertical="top"/>
    </xf>
    <xf numFmtId="49" fontId="0" fillId="37" borderId="34" xfId="0" applyNumberFormat="1" applyFont="1" applyFill="1" applyBorder="1" applyAlignment="1">
      <alignment horizontal="right" vertical="top"/>
    </xf>
    <xf numFmtId="0" fontId="6" fillId="39" borderId="100" xfId="0" applyFont="1" applyFill="1" applyBorder="1" applyAlignment="1" quotePrefix="1">
      <alignment horizontal="center" vertical="top"/>
    </xf>
    <xf numFmtId="14" fontId="6" fillId="35" borderId="0" xfId="62" applyNumberFormat="1" applyFont="1" applyFill="1" applyAlignment="1" applyProtection="1">
      <alignment horizontal="left"/>
      <protection locked="0"/>
    </xf>
    <xf numFmtId="14" fontId="6" fillId="35" borderId="0" xfId="0" applyNumberFormat="1" applyFont="1" applyFill="1" applyAlignment="1" applyProtection="1">
      <alignment horizontal="left"/>
      <protection locked="0"/>
    </xf>
    <xf numFmtId="0" fontId="6" fillId="35" borderId="0" xfId="62" applyFont="1" applyFill="1" applyAlignment="1" applyProtection="1">
      <alignment horizontal="left"/>
      <protection locked="0"/>
    </xf>
    <xf numFmtId="164" fontId="3" fillId="35" borderId="38" xfId="55" applyNumberFormat="1" applyFill="1" applyBorder="1" applyAlignment="1" applyProtection="1">
      <alignment horizontal="center"/>
      <protection locked="0"/>
    </xf>
    <xf numFmtId="164" fontId="3" fillId="0" borderId="36" xfId="55" applyNumberFormat="1" applyFill="1" applyBorder="1" applyAlignment="1" applyProtection="1">
      <alignment horizontal="center"/>
      <protection/>
    </xf>
    <xf numFmtId="164" fontId="3" fillId="35" borderId="36" xfId="55" applyNumberFormat="1" applyFont="1" applyFill="1" applyBorder="1" applyAlignment="1" applyProtection="1">
      <alignment horizontal="center"/>
      <protection locked="0"/>
    </xf>
    <xf numFmtId="164" fontId="6" fillId="34" borderId="13" xfId="61" applyNumberFormat="1" applyFont="1" applyFill="1" applyBorder="1" applyAlignment="1" applyProtection="1">
      <alignment horizontal="center"/>
      <protection locked="0"/>
    </xf>
    <xf numFmtId="164" fontId="6" fillId="34" borderId="18" xfId="61" applyNumberFormat="1" applyFont="1" applyFill="1" applyBorder="1" applyAlignment="1" applyProtection="1">
      <alignment horizontal="center"/>
      <protection locked="0"/>
    </xf>
    <xf numFmtId="164" fontId="6" fillId="0" borderId="17" xfId="61" applyNumberFormat="1" applyFont="1" applyBorder="1" applyAlignment="1" applyProtection="1">
      <alignment horizontal="center"/>
      <protection/>
    </xf>
    <xf numFmtId="164" fontId="6" fillId="0" borderId="63" xfId="61" applyNumberFormat="1" applyFont="1" applyBorder="1" applyAlignment="1" applyProtection="1">
      <alignment horizontal="center"/>
      <protection/>
    </xf>
    <xf numFmtId="1" fontId="6" fillId="34" borderId="39" xfId="61" applyNumberFormat="1" applyFont="1" applyFill="1" applyBorder="1" applyAlignment="1" applyProtection="1">
      <alignment horizontal="center"/>
      <protection locked="0"/>
    </xf>
    <xf numFmtId="1" fontId="6" fillId="34" borderId="61" xfId="61" applyNumberFormat="1" applyFont="1" applyFill="1" applyBorder="1" applyAlignment="1" applyProtection="1">
      <alignment horizontal="center"/>
      <protection locked="0"/>
    </xf>
    <xf numFmtId="0" fontId="2" fillId="0" borderId="0" xfId="0" applyFont="1" applyAlignment="1">
      <alignment/>
    </xf>
    <xf numFmtId="0" fontId="0" fillId="0" borderId="34" xfId="0" applyFont="1" applyFill="1" applyBorder="1" applyAlignment="1" quotePrefix="1">
      <alignment horizontal="left" vertical="top"/>
    </xf>
    <xf numFmtId="49" fontId="0" fillId="0" borderId="34" xfId="0" applyNumberFormat="1" applyFont="1" applyFill="1" applyBorder="1" applyAlignment="1">
      <alignment horizontal="right" vertical="top"/>
    </xf>
    <xf numFmtId="0" fontId="48" fillId="41" borderId="34" xfId="0" applyFont="1" applyFill="1" applyBorder="1" applyAlignment="1">
      <alignment horizontal="left" vertical="top"/>
    </xf>
    <xf numFmtId="0" fontId="59" fillId="40" borderId="97" xfId="0" applyFont="1" applyFill="1" applyBorder="1" applyAlignment="1" quotePrefix="1">
      <alignment horizontal="left" vertical="top" wrapText="1"/>
    </xf>
    <xf numFmtId="0" fontId="0" fillId="0" borderId="78" xfId="0" applyBorder="1" applyAlignment="1">
      <alignment vertical="top"/>
    </xf>
    <xf numFmtId="0" fontId="0" fillId="0" borderId="98" xfId="0" applyFont="1" applyBorder="1" applyAlignment="1">
      <alignment vertical="top"/>
    </xf>
    <xf numFmtId="0" fontId="52" fillId="0" borderId="73" xfId="0" applyFont="1" applyBorder="1" applyAlignment="1">
      <alignment vertical="top" wrapText="1"/>
    </xf>
    <xf numFmtId="0" fontId="7" fillId="0" borderId="73" xfId="0" applyFont="1" applyFill="1" applyBorder="1" applyAlignment="1">
      <alignment vertical="top" wrapText="1"/>
    </xf>
    <xf numFmtId="0" fontId="0" fillId="0" borderId="73" xfId="0" applyFont="1" applyBorder="1" applyAlignment="1">
      <alignment vertical="top" wrapText="1"/>
    </xf>
    <xf numFmtId="0" fontId="59" fillId="40" borderId="95" xfId="0" applyFont="1" applyFill="1" applyBorder="1" applyAlignment="1" quotePrefix="1">
      <alignment horizontal="left" vertical="top" wrapText="1"/>
    </xf>
    <xf numFmtId="0" fontId="0" fillId="40" borderId="93" xfId="0" applyFill="1" applyBorder="1" applyAlignment="1">
      <alignment vertical="top"/>
    </xf>
    <xf numFmtId="0" fontId="0" fillId="40" borderId="96" xfId="0" applyFill="1" applyBorder="1" applyAlignment="1">
      <alignment vertical="top"/>
    </xf>
    <xf numFmtId="0" fontId="59" fillId="0" borderId="78" xfId="0" applyFont="1" applyFill="1" applyBorder="1" applyAlignment="1">
      <alignment vertical="top" wrapText="1"/>
    </xf>
    <xf numFmtId="0" fontId="59" fillId="0" borderId="80" xfId="0" applyFont="1" applyFill="1" applyBorder="1" applyAlignment="1">
      <alignment vertical="top"/>
    </xf>
    <xf numFmtId="0" fontId="59" fillId="0" borderId="73" xfId="0" applyFont="1" applyBorder="1" applyAlignment="1">
      <alignment vertical="top" wrapText="1"/>
    </xf>
    <xf numFmtId="0" fontId="59" fillId="0" borderId="73" xfId="0" applyFont="1" applyFill="1" applyBorder="1" applyAlignment="1">
      <alignment vertical="top" wrapText="1"/>
    </xf>
    <xf numFmtId="0" fontId="59" fillId="40" borderId="93" xfId="0" applyFont="1" applyFill="1" applyBorder="1" applyAlignment="1" quotePrefix="1">
      <alignment horizontal="left" vertical="top" wrapText="1"/>
    </xf>
    <xf numFmtId="0" fontId="59" fillId="40" borderId="96" xfId="0" applyFont="1" applyFill="1" applyBorder="1" applyAlignment="1">
      <alignment vertical="top" wrapText="1"/>
    </xf>
    <xf numFmtId="0" fontId="0" fillId="40" borderId="93" xfId="0" applyFill="1" applyBorder="1" applyAlignment="1">
      <alignment vertical="top" wrapText="1"/>
    </xf>
    <xf numFmtId="0" fontId="48" fillId="37" borderId="78" xfId="0" applyFont="1" applyFill="1" applyBorder="1" applyAlignment="1" quotePrefix="1">
      <alignment horizontal="left" vertical="top" wrapText="1"/>
    </xf>
    <xf numFmtId="0" fontId="0" fillId="0" borderId="73" xfId="0" applyFont="1" applyFill="1" applyBorder="1" applyAlignment="1">
      <alignment vertical="top" wrapText="1"/>
    </xf>
    <xf numFmtId="0" fontId="0" fillId="40" borderId="96" xfId="0" applyFill="1" applyBorder="1" applyAlignment="1">
      <alignment vertical="top" wrapText="1"/>
    </xf>
    <xf numFmtId="0" fontId="59" fillId="40" borderId="95" xfId="0" applyNumberFormat="1" applyFont="1" applyFill="1" applyBorder="1" applyAlignment="1" quotePrefix="1">
      <alignment horizontal="left" vertical="top" wrapText="1"/>
    </xf>
    <xf numFmtId="0" fontId="59" fillId="0" borderId="78" xfId="0" applyFont="1" applyBorder="1" applyAlignment="1" quotePrefix="1">
      <alignment horizontal="left" vertical="top" wrapText="1"/>
    </xf>
    <xf numFmtId="0" fontId="59" fillId="40" borderId="96" xfId="0" applyFont="1" applyFill="1" applyBorder="1" applyAlignment="1" quotePrefix="1">
      <alignment horizontal="left" vertical="top" wrapText="1"/>
    </xf>
    <xf numFmtId="0" fontId="59" fillId="37" borderId="78" xfId="0" applyFont="1" applyFill="1" applyBorder="1" applyAlignment="1">
      <alignment vertical="top" wrapText="1"/>
    </xf>
    <xf numFmtId="0" fontId="48" fillId="0" borderId="73" xfId="0" applyFont="1" applyBorder="1" applyAlignment="1">
      <alignment vertical="top" wrapText="1"/>
    </xf>
    <xf numFmtId="0" fontId="48" fillId="0" borderId="73" xfId="0" applyFont="1" applyBorder="1" applyAlignment="1" quotePrefix="1">
      <alignment horizontal="left" vertical="top" wrapText="1"/>
    </xf>
    <xf numFmtId="0" fontId="59" fillId="40" borderId="93" xfId="0" applyFont="1" applyFill="1" applyBorder="1" applyAlignment="1">
      <alignment vertical="top" wrapText="1"/>
    </xf>
    <xf numFmtId="172" fontId="2" fillId="0" borderId="0" xfId="0" applyNumberFormat="1" applyFont="1" applyAlignment="1">
      <alignment horizontal="center" vertical="top"/>
    </xf>
    <xf numFmtId="172" fontId="58" fillId="40" borderId="0" xfId="0" applyNumberFormat="1" applyFont="1" applyFill="1" applyAlignment="1">
      <alignment horizontal="center" vertical="top"/>
    </xf>
    <xf numFmtId="172" fontId="0" fillId="0" borderId="0" xfId="0" applyNumberFormat="1" applyAlignment="1">
      <alignment horizontal="center" vertical="top"/>
    </xf>
    <xf numFmtId="0" fontId="59" fillId="0" borderId="34" xfId="0" applyFont="1" applyFill="1" applyBorder="1" applyAlignment="1" quotePrefix="1">
      <alignment horizontal="left" vertical="top"/>
    </xf>
    <xf numFmtId="0" fontId="0" fillId="0" borderId="0" xfId="0" applyAlignment="1">
      <alignment horizontal="left" vertical="top" wrapText="1"/>
    </xf>
    <xf numFmtId="0" fontId="0" fillId="40" borderId="96" xfId="0" applyFont="1" applyFill="1" applyBorder="1" applyAlignment="1" quotePrefix="1">
      <alignment horizontal="left" vertical="top" wrapText="1"/>
    </xf>
    <xf numFmtId="49" fontId="0" fillId="0" borderId="0" xfId="0" applyNumberFormat="1" applyAlignment="1">
      <alignment/>
    </xf>
    <xf numFmtId="49" fontId="2" fillId="0" borderId="93" xfId="0" applyNumberFormat="1" applyFont="1" applyFill="1" applyBorder="1" applyAlignment="1">
      <alignment vertical="top"/>
    </xf>
    <xf numFmtId="49" fontId="0" fillId="42" borderId="73" xfId="0" applyNumberFormat="1" applyFont="1" applyFill="1" applyBorder="1" applyAlignment="1" quotePrefix="1">
      <alignment horizontal="left"/>
    </xf>
    <xf numFmtId="49" fontId="0" fillId="37" borderId="73" xfId="0" applyNumberFormat="1" applyFont="1" applyFill="1" applyBorder="1" applyAlignment="1">
      <alignment/>
    </xf>
    <xf numFmtId="49" fontId="0" fillId="37" borderId="34" xfId="0" applyNumberFormat="1" applyFont="1" applyFill="1" applyBorder="1" applyAlignment="1">
      <alignment/>
    </xf>
    <xf numFmtId="49" fontId="2" fillId="37" borderId="73" xfId="0" applyNumberFormat="1" applyFont="1" applyFill="1" applyBorder="1" applyAlignment="1">
      <alignment horizontal="right"/>
    </xf>
    <xf numFmtId="49" fontId="2" fillId="37" borderId="34" xfId="0" applyNumberFormat="1" applyFont="1" applyFill="1" applyBorder="1" applyAlignment="1">
      <alignment horizontal="right"/>
    </xf>
    <xf numFmtId="49" fontId="0" fillId="42" borderId="73" xfId="0" applyNumberFormat="1" applyFont="1" applyFill="1" applyBorder="1" applyAlignment="1">
      <alignment/>
    </xf>
    <xf numFmtId="49" fontId="0" fillId="37" borderId="34" xfId="0" applyNumberFormat="1" applyFont="1" applyFill="1" applyBorder="1" applyAlignment="1" quotePrefix="1">
      <alignment horizontal="left"/>
    </xf>
    <xf numFmtId="49" fontId="0" fillId="42" borderId="34" xfId="0" applyNumberFormat="1" applyFont="1" applyFill="1" applyBorder="1" applyAlignment="1">
      <alignment horizontal="left"/>
    </xf>
    <xf numFmtId="49" fontId="0" fillId="42" borderId="34" xfId="0" applyNumberFormat="1" applyFont="1" applyFill="1" applyBorder="1" applyAlignment="1" quotePrefix="1">
      <alignment horizontal="right"/>
    </xf>
    <xf numFmtId="49" fontId="0" fillId="42" borderId="73" xfId="0" applyNumberFormat="1" applyFont="1" applyFill="1" applyBorder="1" applyAlignment="1" quotePrefix="1">
      <alignment horizontal="right"/>
    </xf>
    <xf numFmtId="0" fontId="2" fillId="0" borderId="0" xfId="0" applyFont="1" applyFill="1" applyAlignment="1">
      <alignment/>
    </xf>
    <xf numFmtId="49" fontId="0" fillId="42" borderId="34" xfId="0" applyNumberFormat="1" applyFont="1" applyFill="1" applyBorder="1" applyAlignment="1" quotePrefix="1">
      <alignment horizontal="left"/>
    </xf>
    <xf numFmtId="49" fontId="0" fillId="37" borderId="73" xfId="0" applyNumberFormat="1" applyFont="1" applyFill="1" applyBorder="1" applyAlignment="1">
      <alignment horizontal="left"/>
    </xf>
    <xf numFmtId="49" fontId="0" fillId="37" borderId="34" xfId="0" applyNumberFormat="1" applyFont="1" applyFill="1" applyBorder="1" applyAlignment="1">
      <alignment horizontal="left"/>
    </xf>
    <xf numFmtId="49" fontId="0" fillId="42" borderId="73" xfId="0" applyNumberFormat="1" applyFont="1" applyFill="1" applyBorder="1" applyAlignment="1">
      <alignment horizontal="left"/>
    </xf>
    <xf numFmtId="49" fontId="0" fillId="37" borderId="73" xfId="0" applyNumberFormat="1" applyFont="1" applyFill="1" applyBorder="1" applyAlignment="1">
      <alignment horizontal="right"/>
    </xf>
    <xf numFmtId="49" fontId="2" fillId="0" borderId="0" xfId="0" applyNumberFormat="1" applyFont="1" applyAlignment="1">
      <alignment/>
    </xf>
    <xf numFmtId="49" fontId="2" fillId="0" borderId="0" xfId="0" applyNumberFormat="1" applyFont="1" applyFill="1" applyAlignment="1">
      <alignment/>
    </xf>
    <xf numFmtId="0" fontId="59" fillId="41" borderId="34" xfId="0" applyFont="1" applyFill="1" applyBorder="1" applyAlignment="1" quotePrefix="1">
      <alignment horizontal="left" vertical="top" wrapText="1"/>
    </xf>
    <xf numFmtId="0" fontId="0" fillId="41" borderId="34" xfId="0" applyFill="1" applyBorder="1" applyAlignment="1" quotePrefix="1">
      <alignment horizontal="left" vertical="top" wrapText="1"/>
    </xf>
    <xf numFmtId="0" fontId="59" fillId="41" borderId="34" xfId="0" applyFont="1" applyFill="1" applyBorder="1" applyAlignment="1">
      <alignment horizontal="left" vertical="top" wrapText="1"/>
    </xf>
    <xf numFmtId="0" fontId="59" fillId="41" borderId="73" xfId="0" applyFont="1" applyFill="1" applyBorder="1" applyAlignment="1" quotePrefix="1">
      <alignment horizontal="left" vertical="top" wrapText="1"/>
    </xf>
    <xf numFmtId="172" fontId="0" fillId="42" borderId="34" xfId="0" applyNumberFormat="1" applyFont="1" applyFill="1" applyBorder="1" applyAlignment="1">
      <alignment horizontal="right"/>
    </xf>
    <xf numFmtId="49" fontId="0" fillId="37" borderId="34" xfId="0" applyNumberFormat="1" applyFont="1" applyFill="1" applyBorder="1" applyAlignment="1">
      <alignment horizontal="right"/>
    </xf>
    <xf numFmtId="0" fontId="2" fillId="41" borderId="78" xfId="0" applyFont="1" applyFill="1" applyBorder="1" applyAlignment="1" quotePrefix="1">
      <alignment horizontal="left" vertical="top" wrapText="1"/>
    </xf>
    <xf numFmtId="49" fontId="6" fillId="35" borderId="0" xfId="62" applyNumberFormat="1" applyFont="1" applyFill="1" applyAlignment="1" applyProtection="1">
      <alignment horizontal="left"/>
      <protection locked="0"/>
    </xf>
    <xf numFmtId="0" fontId="0" fillId="41" borderId="34" xfId="0" applyFont="1" applyFill="1" applyBorder="1" applyAlignment="1" quotePrefix="1">
      <alignment horizontal="left" vertical="top" wrapText="1"/>
    </xf>
    <xf numFmtId="0" fontId="0" fillId="41" borderId="34" xfId="0" applyFill="1" applyBorder="1" applyAlignment="1">
      <alignment vertical="top"/>
    </xf>
    <xf numFmtId="0" fontId="2" fillId="0" borderId="0" xfId="62" applyFont="1" applyAlignment="1" quotePrefix="1">
      <alignment horizontal="left"/>
      <protection/>
    </xf>
    <xf numFmtId="49" fontId="6" fillId="34" borderId="0" xfId="0" applyNumberFormat="1" applyFont="1" applyFill="1" applyAlignment="1" applyProtection="1">
      <alignment horizontal="left"/>
      <protection locked="0"/>
    </xf>
    <xf numFmtId="172" fontId="0" fillId="0" borderId="0" xfId="57" applyNumberFormat="1" applyAlignment="1">
      <alignment horizontal="center" vertical="top"/>
      <protection/>
    </xf>
    <xf numFmtId="0" fontId="0" fillId="0" borderId="0" xfId="57" applyFont="1" applyAlignment="1">
      <alignment horizontal="center" vertical="top"/>
      <protection/>
    </xf>
    <xf numFmtId="0" fontId="0" fillId="0" borderId="0" xfId="57" applyFont="1" applyAlignment="1" quotePrefix="1">
      <alignment horizontal="left" vertical="top" wrapText="1"/>
      <protection/>
    </xf>
    <xf numFmtId="49" fontId="2" fillId="0" borderId="34" xfId="0" applyNumberFormat="1" applyFont="1" applyFill="1" applyBorder="1" applyAlignment="1">
      <alignment vertical="top"/>
    </xf>
    <xf numFmtId="49" fontId="2" fillId="0" borderId="0" xfId="0" applyNumberFormat="1" applyFont="1" applyAlignment="1">
      <alignment/>
    </xf>
    <xf numFmtId="49" fontId="63" fillId="0" borderId="73" xfId="0" applyNumberFormat="1" applyFont="1" applyFill="1" applyBorder="1" applyAlignment="1">
      <alignment vertical="top"/>
    </xf>
    <xf numFmtId="49" fontId="63" fillId="0" borderId="34" xfId="0" applyNumberFormat="1" applyFont="1" applyFill="1" applyBorder="1" applyAlignment="1">
      <alignment vertical="top"/>
    </xf>
    <xf numFmtId="49" fontId="2" fillId="0" borderId="101" xfId="0" applyNumberFormat="1" applyFont="1" applyFill="1" applyBorder="1" applyAlignment="1">
      <alignment vertical="top"/>
    </xf>
    <xf numFmtId="49" fontId="2" fillId="0" borderId="73" xfId="0" applyNumberFormat="1" applyFont="1" applyFill="1" applyBorder="1" applyAlignment="1">
      <alignment vertical="top"/>
    </xf>
    <xf numFmtId="49" fontId="0" fillId="41" borderId="73" xfId="0" applyNumberFormat="1" applyFont="1" applyFill="1" applyBorder="1" applyAlignment="1">
      <alignment/>
    </xf>
    <xf numFmtId="49" fontId="0" fillId="41" borderId="34" xfId="0" applyNumberFormat="1" applyFont="1" applyFill="1" applyBorder="1" applyAlignment="1">
      <alignment/>
    </xf>
    <xf numFmtId="0" fontId="59" fillId="0" borderId="34" xfId="57" applyFont="1" applyFill="1" applyBorder="1" applyAlignment="1" quotePrefix="1">
      <alignment horizontal="left" vertical="top" wrapText="1"/>
      <protection/>
    </xf>
    <xf numFmtId="0" fontId="48" fillId="41" borderId="78" xfId="0" applyNumberFormat="1" applyFont="1" applyFill="1" applyBorder="1" applyAlignment="1" quotePrefix="1">
      <alignment horizontal="left" vertical="top" wrapText="1"/>
    </xf>
    <xf numFmtId="0" fontId="6" fillId="0" borderId="0" xfId="62" applyFont="1" applyFill="1" applyBorder="1" applyAlignment="1" applyProtection="1">
      <alignment/>
      <protection/>
    </xf>
    <xf numFmtId="0" fontId="6" fillId="0" borderId="0" xfId="0" applyFont="1" applyFill="1" applyAlignment="1" applyProtection="1">
      <alignment/>
      <protection/>
    </xf>
    <xf numFmtId="0" fontId="10" fillId="0" borderId="0" xfId="61" applyFont="1">
      <alignment/>
      <protection/>
    </xf>
    <xf numFmtId="0" fontId="16" fillId="0" borderId="0" xfId="0" applyFont="1" applyFill="1" applyAlignment="1" applyProtection="1">
      <alignment/>
      <protection/>
    </xf>
    <xf numFmtId="0" fontId="6" fillId="0" borderId="0" xfId="61" applyFont="1" applyFill="1" applyAlignment="1" applyProtection="1">
      <alignment horizontal="left"/>
      <protection/>
    </xf>
    <xf numFmtId="0" fontId="0" fillId="0" borderId="0" xfId="62" applyFont="1" applyFill="1">
      <alignment/>
      <protection/>
    </xf>
    <xf numFmtId="0" fontId="3" fillId="35" borderId="0" xfId="56" applyFont="1" applyFill="1" applyAlignment="1" applyProtection="1">
      <alignment horizontal="center"/>
      <protection locked="0"/>
    </xf>
    <xf numFmtId="0" fontId="3" fillId="35" borderId="0" xfId="56" applyFill="1" applyAlignment="1" applyProtection="1">
      <alignment horizontal="center"/>
      <protection locked="0"/>
    </xf>
    <xf numFmtId="0" fontId="3" fillId="0" borderId="0" xfId="56" applyAlignment="1" applyProtection="1">
      <alignment horizontal="centerContinuous"/>
      <protection locked="0"/>
    </xf>
    <xf numFmtId="0" fontId="3" fillId="0" borderId="0" xfId="56" applyFont="1" applyProtection="1">
      <alignment/>
      <protection locked="0"/>
    </xf>
    <xf numFmtId="164" fontId="3" fillId="35" borderId="0" xfId="56" applyNumberFormat="1" applyFont="1" applyFill="1" applyAlignment="1" applyProtection="1">
      <alignment horizontal="center"/>
      <protection locked="0"/>
    </xf>
    <xf numFmtId="164" fontId="3" fillId="35" borderId="0" xfId="56" applyNumberFormat="1" applyFill="1" applyAlignment="1" applyProtection="1">
      <alignment horizontal="center"/>
      <protection locked="0"/>
    </xf>
    <xf numFmtId="0" fontId="6" fillId="0" borderId="0" xfId="0" applyFont="1" applyAlignment="1" applyProtection="1">
      <alignment/>
      <protection locked="0"/>
    </xf>
    <xf numFmtId="0" fontId="6" fillId="0" borderId="0" xfId="0" applyFont="1" applyBorder="1" applyAlignment="1" applyProtection="1">
      <alignment/>
      <protection locked="0"/>
    </xf>
    <xf numFmtId="0" fontId="6" fillId="0" borderId="0" xfId="0" applyFont="1" applyAlignment="1" applyProtection="1">
      <alignment/>
      <protection locked="0"/>
    </xf>
    <xf numFmtId="0" fontId="3" fillId="0" borderId="0" xfId="56" applyFont="1" applyAlignment="1" applyProtection="1">
      <alignment horizontal="right"/>
      <protection locked="0"/>
    </xf>
    <xf numFmtId="0" fontId="6" fillId="0" borderId="0" xfId="56" applyFont="1" applyProtection="1">
      <alignment/>
      <protection locked="0"/>
    </xf>
    <xf numFmtId="0" fontId="3" fillId="0" borderId="0" xfId="56" applyFont="1" applyAlignment="1" applyProtection="1">
      <alignment horizontal="center"/>
      <protection locked="0"/>
    </xf>
    <xf numFmtId="0" fontId="3" fillId="0" borderId="0" xfId="56" applyAlignment="1" applyProtection="1">
      <alignment horizontal="right"/>
      <protection locked="0"/>
    </xf>
    <xf numFmtId="0" fontId="3" fillId="0" borderId="0" xfId="56" applyFont="1" applyProtection="1" quotePrefix="1">
      <alignment/>
      <protection locked="0"/>
    </xf>
    <xf numFmtId="16" fontId="3" fillId="0" borderId="0" xfId="56" applyNumberFormat="1" applyFont="1" applyProtection="1" quotePrefix="1">
      <alignment/>
      <protection locked="0"/>
    </xf>
    <xf numFmtId="16" fontId="3" fillId="0" borderId="0" xfId="56" applyNumberFormat="1" applyProtection="1" quotePrefix="1">
      <alignment/>
      <protection locked="0"/>
    </xf>
    <xf numFmtId="0" fontId="3" fillId="0" borderId="0" xfId="56" applyFill="1" applyProtection="1">
      <alignment/>
      <protection locked="0"/>
    </xf>
    <xf numFmtId="0" fontId="3" fillId="0" borderId="0" xfId="56" applyFont="1" applyAlignment="1" applyProtection="1" quotePrefix="1">
      <alignment horizontal="left"/>
      <protection locked="0"/>
    </xf>
    <xf numFmtId="0" fontId="3" fillId="41" borderId="0" xfId="56" applyFont="1" applyFill="1" applyProtection="1">
      <alignment/>
      <protection locked="0"/>
    </xf>
    <xf numFmtId="0" fontId="3" fillId="41" borderId="0" xfId="56" applyFill="1" applyProtection="1">
      <alignment/>
      <protection locked="0"/>
    </xf>
    <xf numFmtId="0" fontId="6" fillId="0" borderId="0" xfId="0" applyNumberFormat="1" applyFont="1" applyFill="1" applyAlignment="1" applyProtection="1">
      <alignment/>
      <protection/>
    </xf>
    <xf numFmtId="49" fontId="6" fillId="0" borderId="0" xfId="62" applyNumberFormat="1" applyFont="1" applyFill="1" applyAlignment="1" applyProtection="1">
      <alignment horizontal="left"/>
      <protection/>
    </xf>
    <xf numFmtId="169" fontId="6" fillId="0" borderId="0" xfId="62" applyNumberFormat="1" applyFont="1" applyAlignment="1" applyProtection="1">
      <alignment horizontal="centerContinuous"/>
      <protection/>
    </xf>
    <xf numFmtId="169" fontId="0" fillId="0" borderId="0" xfId="62" applyNumberFormat="1" applyFont="1" applyAlignment="1">
      <alignment horizontal="centerContinuous"/>
      <protection/>
    </xf>
    <xf numFmtId="169" fontId="6" fillId="0" borderId="0" xfId="62" applyNumberFormat="1" applyFont="1" applyAlignment="1" applyProtection="1">
      <alignment horizontal="center"/>
      <protection/>
    </xf>
    <xf numFmtId="169" fontId="0" fillId="0" borderId="0" xfId="62" applyNumberFormat="1" applyFont="1" applyAlignment="1">
      <alignment horizontal="center"/>
      <protection/>
    </xf>
    <xf numFmtId="169" fontId="0" fillId="0" borderId="0" xfId="0" applyNumberFormat="1" applyAlignment="1">
      <alignment horizontal="center"/>
    </xf>
    <xf numFmtId="169" fontId="0" fillId="0" borderId="0" xfId="0" applyNumberFormat="1" applyAlignment="1" quotePrefix="1">
      <alignment horizontal="center"/>
    </xf>
    <xf numFmtId="169" fontId="0" fillId="0" borderId="0" xfId="0" applyNumberFormat="1" applyAlignment="1">
      <alignment/>
    </xf>
    <xf numFmtId="169" fontId="28" fillId="0" borderId="0" xfId="0" applyNumberFormat="1" applyFont="1" applyFill="1" applyBorder="1" applyAlignment="1" applyProtection="1">
      <alignment horizontal="center"/>
      <protection/>
    </xf>
    <xf numFmtId="0" fontId="70" fillId="34" borderId="0" xfId="0" applyFont="1" applyFill="1" applyAlignment="1">
      <alignment vertical="top"/>
    </xf>
    <xf numFmtId="49" fontId="0" fillId="42" borderId="34" xfId="0" applyNumberFormat="1" applyFont="1" applyFill="1" applyBorder="1" applyAlignment="1">
      <alignment horizontal="left" wrapText="1"/>
    </xf>
    <xf numFmtId="0" fontId="15" fillId="0" borderId="0" xfId="62" applyFont="1" applyFill="1" applyAlignment="1" applyProtection="1">
      <alignment/>
      <protection locked="0"/>
    </xf>
    <xf numFmtId="49" fontId="0" fillId="40" borderId="34" xfId="0" applyNumberFormat="1" applyFont="1" applyFill="1" applyBorder="1" applyAlignment="1">
      <alignment horizontal="right"/>
    </xf>
    <xf numFmtId="164" fontId="0" fillId="34" borderId="76" xfId="62" applyNumberFormat="1" applyFont="1" applyFill="1" applyBorder="1" applyAlignment="1" applyProtection="1">
      <alignment horizontal="center"/>
      <protection locked="0"/>
    </xf>
    <xf numFmtId="169" fontId="28" fillId="0" borderId="0" xfId="0" applyNumberFormat="1" applyFont="1" applyFill="1" applyBorder="1" applyAlignment="1" applyProtection="1" quotePrefix="1">
      <alignment horizontal="centerContinuous"/>
      <protection/>
    </xf>
    <xf numFmtId="0" fontId="3" fillId="41" borderId="0" xfId="56" applyNumberFormat="1" applyFill="1" applyAlignment="1" applyProtection="1">
      <alignment horizontal="right"/>
      <protection locked="0"/>
    </xf>
    <xf numFmtId="0" fontId="3" fillId="40" borderId="0" xfId="56" applyFont="1" applyFill="1" applyProtection="1">
      <alignment/>
      <protection locked="0"/>
    </xf>
    <xf numFmtId="49" fontId="3" fillId="0" borderId="0" xfId="56" applyNumberFormat="1" applyProtection="1">
      <alignment/>
      <protection locked="0"/>
    </xf>
    <xf numFmtId="49" fontId="3" fillId="0" borderId="0" xfId="56" applyNumberFormat="1" applyFont="1" applyProtection="1">
      <alignment/>
      <protection locked="0"/>
    </xf>
    <xf numFmtId="0" fontId="0" fillId="0" borderId="0" xfId="0" applyFill="1" applyBorder="1" applyAlignment="1" applyProtection="1">
      <alignment/>
      <protection/>
    </xf>
    <xf numFmtId="0" fontId="0" fillId="0" borderId="0" xfId="62" applyFont="1" applyFill="1" applyBorder="1">
      <alignment/>
      <protection/>
    </xf>
    <xf numFmtId="0" fontId="6" fillId="0" borderId="0" xfId="62" applyFont="1" applyFill="1" applyBorder="1" applyProtection="1">
      <alignment/>
      <protection/>
    </xf>
    <xf numFmtId="0" fontId="0" fillId="0" borderId="0" xfId="62" applyFont="1" applyFill="1" applyBorder="1" applyAlignment="1" applyProtection="1">
      <alignment horizontal="left"/>
      <protection/>
    </xf>
    <xf numFmtId="0" fontId="0" fillId="40" borderId="0" xfId="56" applyFont="1" applyFill="1" applyProtection="1">
      <alignment/>
      <protection locked="0"/>
    </xf>
    <xf numFmtId="49" fontId="3" fillId="40" borderId="0" xfId="56" applyNumberFormat="1" applyFont="1" applyFill="1" applyAlignment="1" applyProtection="1">
      <alignment horizontal="right"/>
      <protection locked="0"/>
    </xf>
    <xf numFmtId="0" fontId="0" fillId="0" borderId="0" xfId="0" applyAlignment="1" applyProtection="1">
      <alignment horizontal="left"/>
      <protection/>
    </xf>
    <xf numFmtId="0" fontId="9" fillId="0" borderId="0" xfId="0" applyFont="1" applyAlignment="1" applyProtection="1">
      <alignment/>
      <protection locked="0"/>
    </xf>
    <xf numFmtId="0" fontId="3" fillId="0" borderId="0" xfId="56" applyAlignment="1" applyProtection="1">
      <alignment horizontal="left"/>
      <protection locked="0"/>
    </xf>
    <xf numFmtId="1" fontId="6" fillId="0" borderId="10" xfId="62" applyNumberFormat="1" applyFont="1" applyFill="1" applyBorder="1" applyAlignment="1" applyProtection="1">
      <alignment horizontal="center"/>
      <protection locked="0"/>
    </xf>
    <xf numFmtId="0" fontId="0" fillId="34" borderId="73" xfId="0" applyFill="1" applyBorder="1" applyAlignment="1" applyProtection="1">
      <alignment vertical="top"/>
      <protection locked="0"/>
    </xf>
    <xf numFmtId="0" fontId="0" fillId="34" borderId="34" xfId="0" applyNumberFormat="1" applyFill="1" applyBorder="1" applyAlignment="1" applyProtection="1">
      <alignment horizontal="left" vertical="top"/>
      <protection/>
    </xf>
    <xf numFmtId="0" fontId="0" fillId="40" borderId="0" xfId="0" applyFill="1" applyAlignment="1">
      <alignment/>
    </xf>
    <xf numFmtId="49" fontId="3" fillId="40" borderId="0" xfId="56" applyNumberFormat="1" applyFill="1" applyProtection="1">
      <alignment/>
      <protection locked="0"/>
    </xf>
    <xf numFmtId="0" fontId="3" fillId="35" borderId="0" xfId="56" applyFill="1" applyAlignment="1" applyProtection="1">
      <alignment horizontal="right"/>
      <protection locked="0"/>
    </xf>
    <xf numFmtId="0" fontId="47" fillId="0" borderId="0" xfId="56" applyFont="1" applyProtection="1">
      <alignment/>
      <protection locked="0"/>
    </xf>
    <xf numFmtId="49" fontId="3" fillId="41" borderId="0" xfId="56" applyNumberFormat="1" applyFont="1" applyFill="1" applyAlignment="1" applyProtection="1">
      <alignment horizontal="right"/>
      <protection locked="0"/>
    </xf>
    <xf numFmtId="0" fontId="3" fillId="40" borderId="0" xfId="56" applyFill="1" applyProtection="1">
      <alignment/>
      <protection locked="0"/>
    </xf>
    <xf numFmtId="0" fontId="0" fillId="0" borderId="0" xfId="0" applyFill="1" applyAlignment="1">
      <alignment/>
    </xf>
    <xf numFmtId="14" fontId="0" fillId="34" borderId="37" xfId="62" applyNumberFormat="1" applyFont="1" applyFill="1" applyBorder="1" applyAlignment="1" applyProtection="1" quotePrefix="1">
      <alignment horizontal="center"/>
      <protection locked="0"/>
    </xf>
    <xf numFmtId="49" fontId="0" fillId="34" borderId="78" xfId="0" applyNumberFormat="1" applyFill="1" applyBorder="1" applyAlignment="1" applyProtection="1">
      <alignment horizontal="left" vertical="top"/>
      <protection locked="0"/>
    </xf>
    <xf numFmtId="49" fontId="0" fillId="34" borderId="78" xfId="0" applyNumberFormat="1" applyFill="1" applyBorder="1" applyAlignment="1" applyProtection="1">
      <alignment vertical="top"/>
      <protection locked="0"/>
    </xf>
    <xf numFmtId="49" fontId="0" fillId="34" borderId="94" xfId="0" applyNumberFormat="1" applyFill="1" applyBorder="1" applyAlignment="1" applyProtection="1">
      <alignment horizontal="left" vertical="top"/>
      <protection locked="0"/>
    </xf>
    <xf numFmtId="49" fontId="2" fillId="0" borderId="10" xfId="0" applyNumberFormat="1" applyFont="1" applyFill="1" applyBorder="1" applyAlignment="1">
      <alignment vertical="top"/>
    </xf>
    <xf numFmtId="49" fontId="2" fillId="0" borderId="75" xfId="0" applyNumberFormat="1" applyFont="1" applyFill="1" applyBorder="1" applyAlignment="1">
      <alignment vertical="top"/>
    </xf>
    <xf numFmtId="49" fontId="0" fillId="34" borderId="60" xfId="0" applyNumberFormat="1" applyFill="1" applyBorder="1" applyAlignment="1" applyProtection="1">
      <alignment vertical="top"/>
      <protection locked="0"/>
    </xf>
    <xf numFmtId="49" fontId="0" fillId="34" borderId="80" xfId="0" applyNumberFormat="1" applyFill="1" applyBorder="1" applyAlignment="1" applyProtection="1">
      <alignment vertical="top"/>
      <protection locked="0"/>
    </xf>
    <xf numFmtId="49" fontId="63" fillId="0" borderId="10" xfId="0" applyNumberFormat="1" applyFont="1" applyFill="1" applyBorder="1" applyAlignment="1">
      <alignment vertical="top"/>
    </xf>
    <xf numFmtId="49" fontId="63" fillId="0" borderId="94" xfId="0" applyNumberFormat="1" applyFont="1" applyFill="1" applyBorder="1" applyAlignment="1">
      <alignment vertical="top"/>
    </xf>
    <xf numFmtId="0" fontId="2" fillId="42" borderId="101" xfId="0" applyFont="1" applyFill="1" applyBorder="1" applyAlignment="1" quotePrefix="1">
      <alignment horizontal="center" wrapText="1"/>
    </xf>
    <xf numFmtId="0" fontId="2" fillId="42" borderId="101" xfId="0" applyFont="1" applyFill="1" applyBorder="1" applyAlignment="1">
      <alignment horizontal="center" wrapText="1"/>
    </xf>
    <xf numFmtId="0" fontId="2" fillId="37" borderId="101" xfId="0" applyFont="1" applyFill="1" applyBorder="1" applyAlignment="1">
      <alignment horizontal="center" wrapText="1"/>
    </xf>
    <xf numFmtId="0" fontId="2" fillId="37" borderId="101" xfId="0" applyFont="1" applyFill="1" applyBorder="1" applyAlignment="1" quotePrefix="1">
      <alignment horizontal="center" wrapText="1"/>
    </xf>
    <xf numFmtId="49" fontId="0" fillId="42" borderId="102" xfId="0" applyNumberFormat="1" applyFill="1" applyBorder="1" applyAlignment="1">
      <alignment/>
    </xf>
    <xf numFmtId="49" fontId="0" fillId="42" borderId="101" xfId="0" applyNumberFormat="1" applyFont="1" applyFill="1" applyBorder="1" applyAlignment="1">
      <alignment/>
    </xf>
    <xf numFmtId="172" fontId="0" fillId="37" borderId="101" xfId="0" applyNumberFormat="1" applyFont="1" applyFill="1" applyBorder="1" applyAlignment="1">
      <alignment/>
    </xf>
    <xf numFmtId="49" fontId="0" fillId="37" borderId="101" xfId="0" applyNumberFormat="1" applyFont="1" applyFill="1" applyBorder="1" applyAlignment="1">
      <alignment/>
    </xf>
    <xf numFmtId="14" fontId="0" fillId="37" borderId="101" xfId="0" applyNumberFormat="1" applyFont="1" applyFill="1" applyBorder="1" applyAlignment="1">
      <alignment/>
    </xf>
    <xf numFmtId="14" fontId="0" fillId="42" borderId="101" xfId="0" applyNumberFormat="1" applyFont="1" applyFill="1" applyBorder="1" applyAlignment="1">
      <alignment horizontal="center"/>
    </xf>
    <xf numFmtId="49" fontId="0" fillId="42" borderId="101" xfId="0" applyNumberFormat="1" applyFont="1" applyFill="1" applyBorder="1" applyAlignment="1" quotePrefix="1">
      <alignment horizontal="left"/>
    </xf>
    <xf numFmtId="14" fontId="0" fillId="42" borderId="101" xfId="0" applyNumberFormat="1" applyFill="1" applyBorder="1" applyAlignment="1">
      <alignment horizontal="center"/>
    </xf>
    <xf numFmtId="49" fontId="0" fillId="42" borderId="101" xfId="0" applyNumberFormat="1" applyFill="1" applyBorder="1" applyAlignment="1">
      <alignment horizontal="center"/>
    </xf>
    <xf numFmtId="49" fontId="0" fillId="42" borderId="101" xfId="0" applyNumberFormat="1" applyFill="1" applyBorder="1" applyAlignment="1">
      <alignment/>
    </xf>
    <xf numFmtId="49" fontId="0" fillId="42" borderId="101" xfId="0" applyNumberFormat="1" applyFont="1" applyFill="1" applyBorder="1" applyAlignment="1">
      <alignment horizontal="center"/>
    </xf>
    <xf numFmtId="49" fontId="0" fillId="37" borderId="101" xfId="0" applyNumberFormat="1" applyFont="1" applyFill="1" applyBorder="1" applyAlignment="1">
      <alignment horizontal="center" wrapText="1"/>
    </xf>
    <xf numFmtId="49" fontId="0" fillId="37" borderId="103" xfId="0" applyNumberFormat="1" applyFont="1" applyFill="1" applyBorder="1" applyAlignment="1">
      <alignment/>
    </xf>
    <xf numFmtId="49" fontId="2" fillId="0" borderId="103" xfId="0" applyNumberFormat="1" applyFont="1" applyFill="1" applyBorder="1" applyAlignment="1">
      <alignment vertical="top"/>
    </xf>
    <xf numFmtId="0" fontId="2" fillId="38" borderId="101" xfId="0" applyFont="1" applyFill="1" applyBorder="1" applyAlignment="1">
      <alignment horizontal="center" wrapText="1"/>
    </xf>
    <xf numFmtId="49" fontId="0" fillId="42" borderId="98" xfId="0" applyNumberFormat="1" applyFill="1" applyBorder="1" applyAlignment="1">
      <alignment/>
    </xf>
    <xf numFmtId="49" fontId="53" fillId="38" borderId="98" xfId="0" applyNumberFormat="1" applyFont="1" applyFill="1" applyBorder="1" applyAlignment="1">
      <alignment/>
    </xf>
    <xf numFmtId="49" fontId="0" fillId="42" borderId="80" xfId="0" applyNumberFormat="1" applyFont="1" applyFill="1" applyBorder="1" applyAlignment="1">
      <alignment horizontal="left" vertical="top"/>
    </xf>
    <xf numFmtId="14" fontId="0" fillId="37" borderId="104" xfId="0" applyNumberFormat="1" applyFill="1" applyBorder="1" applyAlignment="1">
      <alignment vertical="top"/>
    </xf>
    <xf numFmtId="49" fontId="2" fillId="0" borderId="104" xfId="0" applyNumberFormat="1" applyFont="1" applyFill="1" applyBorder="1" applyAlignment="1">
      <alignment vertical="top"/>
    </xf>
    <xf numFmtId="49" fontId="0" fillId="42" borderId="102" xfId="0" applyNumberFormat="1" applyFont="1" applyFill="1" applyBorder="1" applyAlignment="1">
      <alignment/>
    </xf>
    <xf numFmtId="49" fontId="0" fillId="42" borderId="101" xfId="0" applyNumberFormat="1" applyFill="1" applyBorder="1" applyAlignment="1" quotePrefix="1">
      <alignment horizontal="right"/>
    </xf>
    <xf numFmtId="49" fontId="0" fillId="42" borderId="101" xfId="0" applyNumberFormat="1" applyFont="1" applyFill="1" applyBorder="1" applyAlignment="1">
      <alignment horizontal="right"/>
    </xf>
    <xf numFmtId="14" fontId="0" fillId="37" borderId="103" xfId="0" applyNumberFormat="1" applyFont="1" applyFill="1" applyBorder="1" applyAlignment="1">
      <alignment/>
    </xf>
    <xf numFmtId="49" fontId="63" fillId="0" borderId="75" xfId="0" applyNumberFormat="1" applyFont="1" applyFill="1" applyBorder="1" applyAlignment="1">
      <alignment vertical="top"/>
    </xf>
    <xf numFmtId="49" fontId="0" fillId="42" borderId="101" xfId="0" applyNumberFormat="1" applyFont="1" applyFill="1" applyBorder="1" applyAlignment="1">
      <alignment horizontal="left"/>
    </xf>
    <xf numFmtId="172" fontId="0" fillId="42" borderId="101" xfId="0" applyNumberFormat="1" applyFont="1" applyFill="1" applyBorder="1" applyAlignment="1">
      <alignment/>
    </xf>
    <xf numFmtId="14" fontId="0" fillId="42" borderId="101" xfId="0" applyNumberFormat="1" applyFont="1" applyFill="1" applyBorder="1" applyAlignment="1">
      <alignment/>
    </xf>
    <xf numFmtId="49" fontId="0" fillId="42" borderId="103" xfId="0" applyNumberFormat="1" applyFont="1" applyFill="1" applyBorder="1" applyAlignment="1">
      <alignment horizontal="right"/>
    </xf>
    <xf numFmtId="49" fontId="0" fillId="42" borderId="10" xfId="0" applyNumberFormat="1" applyFont="1" applyFill="1" applyBorder="1" applyAlignment="1" quotePrefix="1">
      <alignment horizontal="left"/>
    </xf>
    <xf numFmtId="49" fontId="0" fillId="42" borderId="78" xfId="0" applyNumberFormat="1" applyFont="1" applyFill="1" applyBorder="1" applyAlignment="1">
      <alignment/>
    </xf>
    <xf numFmtId="14" fontId="0" fillId="37" borderId="75" xfId="0" applyNumberFormat="1" applyFont="1" applyFill="1" applyBorder="1" applyAlignment="1">
      <alignment/>
    </xf>
    <xf numFmtId="14" fontId="0" fillId="37" borderId="94" xfId="0" applyNumberFormat="1" applyFont="1" applyFill="1" applyBorder="1" applyAlignment="1">
      <alignment/>
    </xf>
    <xf numFmtId="49" fontId="2" fillId="0" borderId="105" xfId="0" applyNumberFormat="1" applyFont="1" applyFill="1" applyBorder="1" applyAlignment="1">
      <alignment vertical="top"/>
    </xf>
    <xf numFmtId="49" fontId="2" fillId="0" borderId="106" xfId="0" applyNumberFormat="1" applyFont="1" applyFill="1" applyBorder="1" applyAlignment="1">
      <alignment vertical="top"/>
    </xf>
    <xf numFmtId="49" fontId="2" fillId="0" borderId="106" xfId="0" applyNumberFormat="1" applyFont="1" applyFill="1" applyBorder="1" applyAlignment="1" quotePrefix="1">
      <alignment horizontal="left" vertical="top"/>
    </xf>
    <xf numFmtId="49" fontId="2" fillId="0" borderId="107" xfId="0" applyNumberFormat="1" applyFont="1" applyFill="1" applyBorder="1" applyAlignment="1">
      <alignment vertical="top"/>
    </xf>
    <xf numFmtId="49" fontId="0" fillId="42" borderId="60" xfId="0" applyNumberFormat="1" applyFont="1" applyFill="1" applyBorder="1" applyAlignment="1">
      <alignment/>
    </xf>
    <xf numFmtId="49" fontId="0" fillId="37" borderId="80" xfId="0" applyNumberFormat="1" applyFont="1" applyFill="1" applyBorder="1" applyAlignment="1">
      <alignment/>
    </xf>
    <xf numFmtId="49" fontId="2" fillId="37" borderId="80" xfId="0" applyNumberFormat="1" applyFont="1" applyFill="1" applyBorder="1" applyAlignment="1">
      <alignment horizontal="right"/>
    </xf>
    <xf numFmtId="49" fontId="0" fillId="37" borderId="80" xfId="0" applyNumberFormat="1" applyFont="1" applyFill="1" applyBorder="1" applyAlignment="1">
      <alignment horizontal="left"/>
    </xf>
    <xf numFmtId="49" fontId="0" fillId="42" borderId="80" xfId="0" applyNumberFormat="1" applyFont="1" applyFill="1" applyBorder="1" applyAlignment="1">
      <alignment horizontal="right"/>
    </xf>
    <xf numFmtId="14" fontId="0" fillId="37" borderId="104" xfId="0" applyNumberFormat="1" applyFont="1" applyFill="1" applyBorder="1" applyAlignment="1">
      <alignment/>
    </xf>
    <xf numFmtId="49" fontId="0" fillId="42" borderId="102" xfId="0" applyNumberFormat="1" applyFont="1" applyFill="1" applyBorder="1" applyAlignment="1" quotePrefix="1">
      <alignment horizontal="left"/>
    </xf>
    <xf numFmtId="172" fontId="0" fillId="41" borderId="101" xfId="0" applyNumberFormat="1" applyFont="1" applyFill="1" applyBorder="1" applyAlignment="1">
      <alignment horizontal="center"/>
    </xf>
    <xf numFmtId="49" fontId="63" fillId="0" borderId="108" xfId="0" applyNumberFormat="1" applyFont="1" applyFill="1" applyBorder="1" applyAlignment="1">
      <alignment vertical="top"/>
    </xf>
    <xf numFmtId="49" fontId="63" fillId="0" borderId="106" xfId="0" applyNumberFormat="1" applyFont="1" applyFill="1" applyBorder="1" applyAlignment="1">
      <alignment vertical="top"/>
    </xf>
    <xf numFmtId="49" fontId="63" fillId="0" borderId="109" xfId="0" applyNumberFormat="1" applyFont="1" applyFill="1" applyBorder="1" applyAlignment="1">
      <alignment vertical="top"/>
    </xf>
    <xf numFmtId="49" fontId="0" fillId="42" borderId="80" xfId="0" applyNumberFormat="1" applyFont="1" applyFill="1" applyBorder="1" applyAlignment="1" quotePrefix="1">
      <alignment horizontal="left"/>
    </xf>
    <xf numFmtId="49" fontId="0" fillId="42" borderId="80" xfId="0" applyNumberFormat="1" applyFont="1" applyFill="1" applyBorder="1" applyAlignment="1">
      <alignment horizontal="left"/>
    </xf>
    <xf numFmtId="49" fontId="0" fillId="42" borderId="80" xfId="0" applyNumberFormat="1" applyFont="1" applyFill="1" applyBorder="1" applyAlignment="1">
      <alignment/>
    </xf>
    <xf numFmtId="49" fontId="0" fillId="41" borderId="80" xfId="0" applyNumberFormat="1" applyFont="1" applyFill="1" applyBorder="1" applyAlignment="1">
      <alignment/>
    </xf>
    <xf numFmtId="0" fontId="21" fillId="0" borderId="0" xfId="60" applyFont="1" applyFill="1" applyAlignment="1" applyProtection="1">
      <alignment horizontal="left"/>
      <protection locked="0"/>
    </xf>
    <xf numFmtId="0" fontId="10" fillId="0" borderId="68" xfId="62" applyFont="1" applyBorder="1" applyAlignment="1" applyProtection="1">
      <alignment horizontal="center"/>
      <protection/>
    </xf>
    <xf numFmtId="1" fontId="0" fillId="34" borderId="10" xfId="62" applyNumberFormat="1" applyFont="1" applyFill="1" applyBorder="1" applyAlignment="1" applyProtection="1">
      <alignment horizontal="center"/>
      <protection locked="0"/>
    </xf>
    <xf numFmtId="1" fontId="0" fillId="34" borderId="37" xfId="62" applyNumberFormat="1" applyFont="1" applyFill="1" applyBorder="1" applyAlignment="1" applyProtection="1">
      <alignment horizontal="center"/>
      <protection locked="0"/>
    </xf>
    <xf numFmtId="1" fontId="0" fillId="32" borderId="10" xfId="62" applyNumberFormat="1" applyFont="1" applyFill="1" applyBorder="1" applyAlignment="1" applyProtection="1">
      <alignment horizontal="center"/>
      <protection locked="0"/>
    </xf>
    <xf numFmtId="1" fontId="0" fillId="32" borderId="37" xfId="62" applyNumberFormat="1" applyFont="1" applyFill="1" applyBorder="1" applyAlignment="1" applyProtection="1">
      <alignment horizontal="center"/>
      <protection locked="0"/>
    </xf>
    <xf numFmtId="164" fontId="0" fillId="34" borderId="12" xfId="62" applyNumberFormat="1" applyFont="1" applyFill="1" applyBorder="1" applyAlignment="1" applyProtection="1">
      <alignment horizontal="center"/>
      <protection locked="0"/>
    </xf>
    <xf numFmtId="164" fontId="0" fillId="34" borderId="19" xfId="62" applyNumberFormat="1" applyFont="1" applyFill="1" applyBorder="1" applyAlignment="1" applyProtection="1">
      <alignment horizontal="center"/>
      <protection locked="0"/>
    </xf>
    <xf numFmtId="0" fontId="21" fillId="0" borderId="0" xfId="60" applyFont="1" applyFill="1" applyAlignment="1" applyProtection="1">
      <alignment/>
      <protection locked="0"/>
    </xf>
    <xf numFmtId="0" fontId="73" fillId="0" borderId="0" xfId="0" applyFont="1" applyAlignment="1">
      <alignment/>
    </xf>
    <xf numFmtId="164" fontId="2" fillId="34" borderId="14" xfId="0" applyNumberFormat="1" applyFont="1" applyFill="1" applyBorder="1" applyAlignment="1" applyProtection="1">
      <alignment horizontal="center"/>
      <protection locked="0"/>
    </xf>
    <xf numFmtId="164" fontId="2" fillId="34" borderId="78" xfId="0" applyNumberFormat="1" applyFont="1" applyFill="1" applyBorder="1" applyAlignment="1" applyProtection="1">
      <alignment horizontal="center"/>
      <protection locked="0"/>
    </xf>
    <xf numFmtId="164" fontId="2" fillId="34" borderId="62" xfId="0" applyNumberFormat="1" applyFont="1" applyFill="1" applyBorder="1" applyAlignment="1" applyProtection="1">
      <alignment horizontal="center"/>
      <protection locked="0"/>
    </xf>
    <xf numFmtId="165" fontId="2" fillId="34" borderId="14" xfId="0" applyNumberFormat="1" applyFont="1" applyFill="1" applyBorder="1" applyAlignment="1" applyProtection="1">
      <alignment horizontal="center"/>
      <protection locked="0"/>
    </xf>
    <xf numFmtId="165" fontId="2" fillId="34" borderId="20" xfId="0" applyNumberFormat="1" applyFont="1" applyFill="1" applyBorder="1" applyAlignment="1" applyProtection="1">
      <alignment horizontal="center"/>
      <protection locked="0"/>
    </xf>
    <xf numFmtId="165" fontId="2" fillId="34" borderId="10" xfId="0" applyNumberFormat="1" applyFont="1" applyFill="1" applyBorder="1" applyAlignment="1" applyProtection="1">
      <alignment horizontal="center"/>
      <protection locked="0"/>
    </xf>
    <xf numFmtId="165" fontId="2" fillId="34" borderId="35" xfId="0" applyNumberFormat="1" applyFont="1" applyFill="1" applyBorder="1" applyAlignment="1" applyProtection="1">
      <alignment horizontal="center"/>
      <protection locked="0"/>
    </xf>
    <xf numFmtId="165" fontId="2" fillId="34" borderId="12" xfId="0" applyNumberFormat="1" applyFont="1" applyFill="1" applyBorder="1" applyAlignment="1" applyProtection="1">
      <alignment horizontal="center"/>
      <protection locked="0"/>
    </xf>
    <xf numFmtId="165" fontId="2" fillId="34" borderId="23" xfId="0" applyNumberFormat="1" applyFont="1" applyFill="1" applyBorder="1" applyAlignment="1" applyProtection="1">
      <alignment horizontal="center"/>
      <protection locked="0"/>
    </xf>
    <xf numFmtId="2" fontId="0" fillId="0" borderId="0" xfId="0" applyNumberFormat="1" applyAlignment="1">
      <alignment/>
    </xf>
    <xf numFmtId="0" fontId="2" fillId="0" borderId="31" xfId="0" applyFont="1" applyBorder="1" applyAlignment="1" applyProtection="1">
      <alignment horizontal="centerContinuous" wrapText="1"/>
      <protection/>
    </xf>
    <xf numFmtId="0" fontId="0" fillId="0" borderId="33" xfId="0" applyBorder="1" applyAlignment="1" applyProtection="1">
      <alignment horizontal="centerContinuous"/>
      <protection/>
    </xf>
    <xf numFmtId="0" fontId="0" fillId="0" borderId="27" xfId="0" applyBorder="1" applyAlignment="1" applyProtection="1">
      <alignment horizontal="centerContinuous"/>
      <protection/>
    </xf>
    <xf numFmtId="0" fontId="10" fillId="0" borderId="31" xfId="0" applyFont="1" applyBorder="1" applyAlignment="1" applyProtection="1">
      <alignment/>
      <protection/>
    </xf>
    <xf numFmtId="0" fontId="0" fillId="0" borderId="33" xfId="0" applyBorder="1" applyAlignment="1" applyProtection="1">
      <alignment/>
      <protection/>
    </xf>
    <xf numFmtId="164" fontId="2" fillId="32" borderId="27" xfId="0" applyNumberFormat="1" applyFont="1" applyFill="1" applyBorder="1" applyAlignment="1" applyProtection="1">
      <alignment horizontal="center"/>
      <protection locked="0"/>
    </xf>
    <xf numFmtId="0" fontId="0" fillId="0" borderId="0" xfId="0" applyFill="1" applyBorder="1" applyAlignment="1" applyProtection="1">
      <alignment horizontal="center"/>
      <protection/>
    </xf>
    <xf numFmtId="165" fontId="0" fillId="0" borderId="0" xfId="0" applyNumberFormat="1" applyAlignment="1">
      <alignment/>
    </xf>
    <xf numFmtId="164" fontId="2" fillId="0" borderId="0" xfId="0" applyNumberFormat="1" applyFont="1" applyFill="1" applyBorder="1" applyAlignment="1">
      <alignment horizontal="center"/>
    </xf>
    <xf numFmtId="0" fontId="0" fillId="49" borderId="0" xfId="0" applyFill="1" applyAlignment="1">
      <alignment/>
    </xf>
    <xf numFmtId="0" fontId="3" fillId="49" borderId="0" xfId="56" applyFill="1" applyProtection="1">
      <alignment/>
      <protection locked="0"/>
    </xf>
    <xf numFmtId="49" fontId="3" fillId="49" borderId="0" xfId="56" applyNumberFormat="1" applyFill="1" applyProtection="1">
      <alignment/>
      <protection locked="0"/>
    </xf>
    <xf numFmtId="0" fontId="3" fillId="0" borderId="0" xfId="56" applyNumberFormat="1" applyProtection="1">
      <alignment/>
      <protection locked="0"/>
    </xf>
    <xf numFmtId="0" fontId="10" fillId="0" borderId="32" xfId="62" applyFont="1" applyBorder="1" applyAlignment="1" applyProtection="1">
      <alignment horizontal="center"/>
      <protection/>
    </xf>
    <xf numFmtId="0" fontId="3" fillId="0" borderId="0" xfId="60" applyFont="1" applyFill="1" applyProtection="1">
      <alignment/>
      <protection/>
    </xf>
    <xf numFmtId="0" fontId="19" fillId="0" borderId="0" xfId="60" applyFont="1" applyFill="1" applyProtection="1">
      <alignment/>
      <protection/>
    </xf>
    <xf numFmtId="0" fontId="7" fillId="0" borderId="0" xfId="0" applyFont="1" applyAlignment="1" applyProtection="1">
      <alignment horizontal="center"/>
      <protection/>
    </xf>
    <xf numFmtId="0" fontId="2" fillId="0" borderId="0" xfId="0" applyFont="1" applyAlignment="1" applyProtection="1">
      <alignment/>
      <protection/>
    </xf>
    <xf numFmtId="0" fontId="10" fillId="0" borderId="26" xfId="0" applyFont="1" applyBorder="1" applyAlignment="1" applyProtection="1">
      <alignment horizontal="center"/>
      <protection/>
    </xf>
    <xf numFmtId="0" fontId="2" fillId="0" borderId="14" xfId="0" applyFont="1" applyFill="1" applyBorder="1" applyAlignment="1" applyProtection="1">
      <alignment horizontal="centerContinuous"/>
      <protection/>
    </xf>
    <xf numFmtId="165" fontId="0" fillId="0" borderId="34" xfId="0" applyNumberFormat="1" applyFont="1" applyFill="1" applyBorder="1" applyAlignment="1" applyProtection="1">
      <alignment horizontal="center"/>
      <protection/>
    </xf>
    <xf numFmtId="2" fontId="0" fillId="0" borderId="52" xfId="0" applyNumberFormat="1" applyFont="1" applyFill="1" applyBorder="1" applyAlignment="1" applyProtection="1">
      <alignment horizontal="center"/>
      <protection/>
    </xf>
    <xf numFmtId="0" fontId="2" fillId="0" borderId="10" xfId="0" applyFont="1" applyFill="1" applyBorder="1" applyAlignment="1" applyProtection="1">
      <alignment horizontal="centerContinuous"/>
      <protection/>
    </xf>
    <xf numFmtId="2" fontId="0" fillId="0" borderId="76" xfId="0" applyNumberFormat="1" applyFont="1" applyFill="1" applyBorder="1" applyAlignment="1" applyProtection="1">
      <alignment horizontal="center"/>
      <protection/>
    </xf>
    <xf numFmtId="0" fontId="2" fillId="0" borderId="78" xfId="0" applyFont="1" applyFill="1" applyBorder="1" applyAlignment="1" applyProtection="1">
      <alignment horizontal="centerContinuous"/>
      <protection/>
    </xf>
    <xf numFmtId="0" fontId="2" fillId="0" borderId="12" xfId="0" applyFont="1" applyFill="1" applyBorder="1" applyAlignment="1" applyProtection="1">
      <alignment horizontal="centerContinuous"/>
      <protection/>
    </xf>
    <xf numFmtId="165" fontId="0" fillId="0" borderId="11" xfId="0" applyNumberFormat="1" applyFont="1" applyFill="1" applyBorder="1" applyAlignment="1" applyProtection="1">
      <alignment horizontal="center"/>
      <protection/>
    </xf>
    <xf numFmtId="2" fontId="0" fillId="0" borderId="51"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62" applyFont="1" applyFill="1" applyBorder="1" applyAlignment="1" applyProtection="1">
      <alignment horizontal="center"/>
      <protection/>
    </xf>
    <xf numFmtId="0" fontId="2" fillId="0" borderId="0" xfId="0" applyFont="1" applyFill="1" applyBorder="1" applyAlignment="1" applyProtection="1">
      <alignment horizontal="centerContinuous"/>
      <protection/>
    </xf>
    <xf numFmtId="164" fontId="2" fillId="0" borderId="0" xfId="0" applyNumberFormat="1" applyFont="1" applyFill="1" applyBorder="1" applyAlignment="1" applyProtection="1">
      <alignment horizontal="center"/>
      <protection/>
    </xf>
    <xf numFmtId="165" fontId="2" fillId="0" borderId="0" xfId="0" applyNumberFormat="1" applyFont="1" applyFill="1" applyBorder="1" applyAlignment="1" applyProtection="1">
      <alignment horizontal="center"/>
      <protection/>
    </xf>
    <xf numFmtId="165" fontId="0" fillId="0" borderId="0" xfId="0" applyNumberFormat="1" applyFon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164" fontId="2" fillId="0" borderId="0" xfId="0" applyNumberFormat="1" applyFont="1" applyAlignment="1" applyProtection="1">
      <alignment horizontal="center"/>
      <protection/>
    </xf>
    <xf numFmtId="164" fontId="2" fillId="0" borderId="41" xfId="0" applyNumberFormat="1" applyFont="1" applyFill="1" applyBorder="1" applyAlignment="1" applyProtection="1">
      <alignment horizontal="center"/>
      <protection/>
    </xf>
    <xf numFmtId="164" fontId="2" fillId="0" borderId="76" xfId="0" applyNumberFormat="1" applyFont="1" applyFill="1" applyBorder="1" applyAlignment="1" applyProtection="1">
      <alignment horizontal="center"/>
      <protection/>
    </xf>
    <xf numFmtId="164" fontId="2" fillId="0" borderId="51" xfId="0" applyNumberFormat="1" applyFont="1" applyFill="1" applyBorder="1" applyAlignment="1" applyProtection="1">
      <alignment horizontal="center"/>
      <protection/>
    </xf>
    <xf numFmtId="164" fontId="2" fillId="0" borderId="84" xfId="0" applyNumberFormat="1" applyFont="1" applyFill="1" applyBorder="1" applyAlignment="1" applyProtection="1">
      <alignment horizontal="center"/>
      <protection/>
    </xf>
    <xf numFmtId="164" fontId="2" fillId="0" borderId="68" xfId="0" applyNumberFormat="1" applyFont="1" applyFill="1" applyBorder="1" applyAlignment="1" applyProtection="1">
      <alignment horizontal="center"/>
      <protection/>
    </xf>
    <xf numFmtId="0" fontId="2" fillId="0" borderId="0" xfId="0" applyFont="1" applyBorder="1" applyAlignment="1" applyProtection="1">
      <alignment horizontal="center"/>
      <protection/>
    </xf>
    <xf numFmtId="0" fontId="0" fillId="0" borderId="32" xfId="0" applyBorder="1" applyAlignment="1">
      <alignment/>
    </xf>
    <xf numFmtId="0" fontId="2" fillId="0" borderId="32" xfId="62" applyFont="1" applyFill="1" applyBorder="1" applyAlignment="1" applyProtection="1">
      <alignment/>
      <protection/>
    </xf>
    <xf numFmtId="0" fontId="2" fillId="0" borderId="12" xfId="62" applyFont="1" applyFill="1" applyBorder="1" applyAlignment="1" applyProtection="1">
      <alignment/>
      <protection/>
    </xf>
    <xf numFmtId="169" fontId="10" fillId="0" borderId="0" xfId="62" applyNumberFormat="1" applyFont="1" applyFill="1" applyBorder="1" applyAlignment="1" applyProtection="1" quotePrefix="1">
      <alignment horizontal="centerContinuous"/>
      <protection/>
    </xf>
    <xf numFmtId="0" fontId="0" fillId="34" borderId="76" xfId="0" applyFill="1" applyBorder="1" applyAlignment="1" applyProtection="1">
      <alignment horizontal="centerContinuous"/>
      <protection locked="0"/>
    </xf>
    <xf numFmtId="0" fontId="0" fillId="34" borderId="42" xfId="0" applyFill="1" applyBorder="1" applyAlignment="1" applyProtection="1">
      <alignment horizontal="centerContinuous"/>
      <protection locked="0"/>
    </xf>
    <xf numFmtId="0" fontId="0" fillId="34" borderId="51" xfId="0" applyFill="1" applyBorder="1" applyAlignment="1" applyProtection="1">
      <alignment horizontal="centerContinuous"/>
      <protection locked="0"/>
    </xf>
    <xf numFmtId="0" fontId="6" fillId="0" borderId="0" xfId="0" applyFont="1" applyBorder="1" applyAlignment="1" applyProtection="1">
      <alignment horizontal="centerContinuous"/>
      <protection/>
    </xf>
    <xf numFmtId="169" fontId="6" fillId="0" borderId="0" xfId="0" applyNumberFormat="1" applyFont="1" applyAlignment="1" applyProtection="1">
      <alignment horizontal="center"/>
      <protection/>
    </xf>
    <xf numFmtId="169" fontId="6" fillId="0" borderId="0" xfId="0" applyNumberFormat="1" applyFont="1" applyFill="1" applyBorder="1" applyAlignment="1" applyProtection="1" quotePrefix="1">
      <alignment/>
      <protection/>
    </xf>
    <xf numFmtId="169" fontId="10" fillId="0" borderId="0" xfId="0" applyNumberFormat="1" applyFont="1" applyFill="1" applyBorder="1" applyAlignment="1" applyProtection="1" quotePrefix="1">
      <alignment horizontal="center"/>
      <protection/>
    </xf>
    <xf numFmtId="0" fontId="0" fillId="0" borderId="0" xfId="0" applyFont="1" applyAlignment="1">
      <alignment/>
    </xf>
    <xf numFmtId="0" fontId="0" fillId="0" borderId="0" xfId="62" applyFont="1">
      <alignment/>
      <protection/>
    </xf>
    <xf numFmtId="0" fontId="0" fillId="0" borderId="0" xfId="62" applyFont="1" applyAlignment="1" applyProtection="1">
      <alignment/>
      <protection/>
    </xf>
    <xf numFmtId="0" fontId="6" fillId="0" borderId="0" xfId="62" applyFont="1" applyProtection="1">
      <alignment/>
      <protection locked="0"/>
    </xf>
    <xf numFmtId="0" fontId="6" fillId="0" borderId="0" xfId="62" applyFont="1" applyAlignment="1" applyProtection="1">
      <alignment horizontal="left"/>
      <protection locked="0"/>
    </xf>
    <xf numFmtId="17" fontId="2" fillId="33" borderId="18" xfId="62" applyNumberFormat="1" applyFont="1" applyFill="1" applyBorder="1" applyAlignment="1" applyProtection="1" quotePrefix="1">
      <alignment horizontal="right"/>
      <protection/>
    </xf>
    <xf numFmtId="0" fontId="0" fillId="33" borderId="29" xfId="61" applyFont="1" applyFill="1" applyBorder="1" applyProtection="1">
      <alignment/>
      <protection/>
    </xf>
    <xf numFmtId="0" fontId="0" fillId="33" borderId="21" xfId="61" applyFont="1" applyFill="1" applyBorder="1" applyProtection="1">
      <alignment/>
      <protection/>
    </xf>
    <xf numFmtId="17" fontId="2" fillId="33" borderId="18" xfId="61" applyNumberFormat="1" applyFont="1" applyFill="1" applyBorder="1" applyAlignment="1" applyProtection="1" quotePrefix="1">
      <alignment horizontal="right"/>
      <protection/>
    </xf>
    <xf numFmtId="0" fontId="8" fillId="33" borderId="22" xfId="61" applyFont="1" applyFill="1" applyBorder="1" applyAlignment="1" applyProtection="1">
      <alignment horizontal="centerContinuous"/>
      <protection/>
    </xf>
    <xf numFmtId="0" fontId="6" fillId="33" borderId="0" xfId="61" applyFont="1" applyFill="1" applyBorder="1" applyAlignment="1" applyProtection="1">
      <alignment horizontal="centerContinuous"/>
      <protection/>
    </xf>
    <xf numFmtId="0" fontId="6" fillId="33" borderId="30" xfId="61" applyFont="1" applyFill="1" applyBorder="1" applyAlignment="1" applyProtection="1">
      <alignment horizontal="centerContinuous"/>
      <protection/>
    </xf>
    <xf numFmtId="0" fontId="6" fillId="33" borderId="28" xfId="61" applyFont="1" applyFill="1" applyBorder="1" applyProtection="1">
      <alignment/>
      <protection/>
    </xf>
    <xf numFmtId="0" fontId="6" fillId="33" borderId="23" xfId="61" applyFont="1" applyFill="1" applyBorder="1" applyProtection="1">
      <alignment/>
      <protection/>
    </xf>
    <xf numFmtId="0" fontId="6" fillId="33" borderId="19" xfId="61" applyFont="1" applyFill="1" applyBorder="1" applyProtection="1">
      <alignment/>
      <protection/>
    </xf>
    <xf numFmtId="0" fontId="71" fillId="0" borderId="0" xfId="60" applyFont="1" applyFill="1" applyProtection="1">
      <alignment/>
      <protection/>
    </xf>
    <xf numFmtId="0" fontId="71" fillId="0" borderId="0" xfId="60" applyFont="1" applyFill="1" applyAlignment="1" applyProtection="1">
      <alignment horizontal="right"/>
      <protection/>
    </xf>
    <xf numFmtId="0" fontId="21" fillId="0" borderId="0" xfId="60" applyFont="1" applyFill="1" applyProtection="1">
      <alignment/>
      <protection/>
    </xf>
    <xf numFmtId="0" fontId="72" fillId="0" borderId="0" xfId="60" applyFont="1" applyFill="1" applyProtection="1">
      <alignment/>
      <protection/>
    </xf>
    <xf numFmtId="0" fontId="21" fillId="0" borderId="0" xfId="60" applyFont="1" applyFill="1" applyAlignment="1" applyProtection="1">
      <alignment horizontal="left"/>
      <protection/>
    </xf>
    <xf numFmtId="0" fontId="2" fillId="0" borderId="38" xfId="0" applyFont="1" applyBorder="1" applyAlignment="1" applyProtection="1">
      <alignment horizontal="center"/>
      <protection/>
    </xf>
    <xf numFmtId="0" fontId="2" fillId="0" borderId="46" xfId="0" applyFont="1" applyBorder="1" applyAlignment="1" applyProtection="1">
      <alignment horizontal="center"/>
      <protection/>
    </xf>
    <xf numFmtId="0" fontId="2" fillId="0" borderId="34" xfId="0" applyFont="1" applyBorder="1" applyAlignment="1" applyProtection="1">
      <alignment horizontal="center"/>
      <protection/>
    </xf>
    <xf numFmtId="0" fontId="2" fillId="0" borderId="76" xfId="0" applyFont="1" applyBorder="1" applyAlignment="1" applyProtection="1">
      <alignment horizontal="center"/>
      <protection/>
    </xf>
    <xf numFmtId="0" fontId="2" fillId="0" borderId="17" xfId="0" applyFont="1" applyBorder="1" applyAlignment="1" applyProtection="1">
      <alignment horizontal="center"/>
      <protection/>
    </xf>
    <xf numFmtId="0" fontId="2" fillId="0" borderId="11" xfId="0" applyFont="1" applyFill="1" applyBorder="1" applyAlignment="1" applyProtection="1">
      <alignment horizontal="center"/>
      <protection/>
    </xf>
    <xf numFmtId="0" fontId="2" fillId="0" borderId="84" xfId="0" applyFont="1" applyFill="1" applyBorder="1" applyAlignment="1" applyProtection="1">
      <alignment horizontal="center"/>
      <protection/>
    </xf>
    <xf numFmtId="0" fontId="0" fillId="0" borderId="0" xfId="0" applyBorder="1" applyAlignment="1" applyProtection="1">
      <alignment horizontal="center"/>
      <protection/>
    </xf>
    <xf numFmtId="0" fontId="0" fillId="0" borderId="92" xfId="0" applyBorder="1" applyAlignment="1" applyProtection="1">
      <alignment horizontal="center"/>
      <protection/>
    </xf>
    <xf numFmtId="0" fontId="2" fillId="0" borderId="40" xfId="62" applyFont="1" applyBorder="1" applyAlignment="1" applyProtection="1">
      <alignment horizontal="center"/>
      <protection/>
    </xf>
    <xf numFmtId="0" fontId="2" fillId="0" borderId="32" xfId="62" applyFont="1" applyBorder="1" applyAlignment="1" applyProtection="1">
      <alignment horizontal="center"/>
      <protection/>
    </xf>
    <xf numFmtId="0" fontId="2" fillId="0" borderId="27" xfId="62" applyFont="1" applyBorder="1" applyAlignment="1" applyProtection="1">
      <alignment horizontal="center"/>
      <protection/>
    </xf>
    <xf numFmtId="49" fontId="0" fillId="0" borderId="36" xfId="62" applyNumberFormat="1" applyFont="1" applyBorder="1" applyAlignment="1" applyProtection="1">
      <alignment horizontal="center"/>
      <protection/>
    </xf>
    <xf numFmtId="0" fontId="0" fillId="0" borderId="36" xfId="62" applyFont="1" applyFill="1" applyBorder="1" applyAlignment="1" applyProtection="1">
      <alignment horizontal="center"/>
      <protection/>
    </xf>
    <xf numFmtId="0" fontId="0" fillId="0" borderId="36" xfId="62" applyFont="1" applyBorder="1" applyAlignment="1" applyProtection="1">
      <alignment horizontal="center"/>
      <protection/>
    </xf>
    <xf numFmtId="165" fontId="0" fillId="0" borderId="36" xfId="62" applyNumberFormat="1" applyFont="1" applyBorder="1" applyAlignment="1" applyProtection="1">
      <alignment horizontal="center"/>
      <protection/>
    </xf>
    <xf numFmtId="0" fontId="0" fillId="0" borderId="16" xfId="62" applyFont="1" applyBorder="1" applyAlignment="1" applyProtection="1">
      <alignment horizontal="center"/>
      <protection/>
    </xf>
    <xf numFmtId="0" fontId="0" fillId="0" borderId="0" xfId="0" applyFont="1" applyAlignment="1" applyProtection="1">
      <alignment/>
      <protection/>
    </xf>
    <xf numFmtId="165" fontId="6" fillId="0" borderId="38" xfId="62" applyNumberFormat="1" applyFont="1" applyFill="1" applyBorder="1" applyAlignment="1" applyProtection="1">
      <alignment horizontal="right"/>
      <protection/>
    </xf>
    <xf numFmtId="164" fontId="0" fillId="0" borderId="81" xfId="0" applyNumberFormat="1" applyFill="1" applyBorder="1" applyAlignment="1" applyProtection="1">
      <alignment horizontal="center"/>
      <protection/>
    </xf>
    <xf numFmtId="164" fontId="0" fillId="0" borderId="41" xfId="0" applyNumberFormat="1" applyFill="1" applyBorder="1" applyAlignment="1" applyProtection="1">
      <alignment horizontal="center"/>
      <protection/>
    </xf>
    <xf numFmtId="165" fontId="6" fillId="0" borderId="46" xfId="62" applyNumberFormat="1" applyFont="1" applyFill="1" applyBorder="1" applyAlignment="1" applyProtection="1">
      <alignment horizontal="right"/>
      <protection/>
    </xf>
    <xf numFmtId="164" fontId="0" fillId="0" borderId="34" xfId="0" applyNumberFormat="1" applyFill="1" applyBorder="1" applyAlignment="1" applyProtection="1">
      <alignment horizontal="center"/>
      <protection/>
    </xf>
    <xf numFmtId="164" fontId="0" fillId="0" borderId="76" xfId="0" applyNumberFormat="1" applyFill="1" applyBorder="1" applyAlignment="1" applyProtection="1">
      <alignment horizontal="center"/>
      <protection/>
    </xf>
    <xf numFmtId="165" fontId="6" fillId="0" borderId="17" xfId="62" applyNumberFormat="1" applyFont="1" applyFill="1" applyBorder="1" applyAlignment="1" applyProtection="1">
      <alignment horizontal="right"/>
      <protection/>
    </xf>
    <xf numFmtId="164" fontId="0" fillId="0" borderId="11" xfId="0" applyNumberFormat="1" applyFill="1" applyBorder="1" applyAlignment="1" applyProtection="1">
      <alignment horizontal="center"/>
      <protection/>
    </xf>
    <xf numFmtId="164" fontId="0" fillId="0" borderId="84" xfId="0" applyNumberFormat="1" applyFill="1" applyBorder="1" applyAlignment="1" applyProtection="1">
      <alignment horizontal="center"/>
      <protection/>
    </xf>
    <xf numFmtId="0" fontId="2" fillId="0" borderId="43" xfId="0" applyFont="1" applyBorder="1" applyAlignment="1" applyProtection="1">
      <alignment/>
      <protection/>
    </xf>
    <xf numFmtId="0" fontId="2" fillId="0" borderId="20" xfId="0" applyFont="1" applyBorder="1" applyAlignment="1" applyProtection="1">
      <alignment/>
      <protection/>
    </xf>
    <xf numFmtId="165" fontId="0" fillId="0" borderId="14" xfId="62" applyNumberFormat="1" applyFont="1" applyFill="1" applyBorder="1" applyAlignment="1" applyProtection="1">
      <alignment horizontal="right"/>
      <protection/>
    </xf>
    <xf numFmtId="0" fontId="2" fillId="0" borderId="28" xfId="0" applyFont="1" applyBorder="1" applyAlignment="1" applyProtection="1">
      <alignment/>
      <protection/>
    </xf>
    <xf numFmtId="0" fontId="2" fillId="0" borderId="23" xfId="0" applyFont="1" applyBorder="1" applyAlignment="1" applyProtection="1">
      <alignment/>
      <protection/>
    </xf>
    <xf numFmtId="165" fontId="0" fillId="0" borderId="23" xfId="62" applyNumberFormat="1" applyFont="1" applyFill="1" applyBorder="1" applyAlignment="1" applyProtection="1">
      <alignment horizontal="right"/>
      <protection/>
    </xf>
    <xf numFmtId="0" fontId="0" fillId="0" borderId="0" xfId="0" applyBorder="1" applyAlignment="1" applyProtection="1">
      <alignment/>
      <protection/>
    </xf>
    <xf numFmtId="0" fontId="2" fillId="0" borderId="31" xfId="0" applyFont="1" applyBorder="1" applyAlignment="1" applyProtection="1">
      <alignment/>
      <protection/>
    </xf>
    <xf numFmtId="0" fontId="2" fillId="0" borderId="33" xfId="0" applyFont="1" applyBorder="1" applyAlignment="1" applyProtection="1">
      <alignment/>
      <protection/>
    </xf>
    <xf numFmtId="165" fontId="0" fillId="0" borderId="32" xfId="62" applyNumberFormat="1" applyFont="1" applyFill="1" applyBorder="1" applyAlignment="1" applyProtection="1">
      <alignment horizontal="right"/>
      <protection/>
    </xf>
    <xf numFmtId="17" fontId="17" fillId="0" borderId="0" xfId="60" applyNumberFormat="1" applyFont="1" applyAlignment="1" quotePrefix="1">
      <alignment horizontal="right"/>
      <protection/>
    </xf>
    <xf numFmtId="0" fontId="9" fillId="0" borderId="0" xfId="62" applyFont="1" applyBorder="1" applyAlignment="1" applyProtection="1">
      <alignment horizontal="center"/>
      <protection/>
    </xf>
    <xf numFmtId="0" fontId="117" fillId="0" borderId="0" xfId="62" applyFont="1" applyAlignment="1" applyProtection="1">
      <alignment horizontal="right"/>
      <protection/>
    </xf>
    <xf numFmtId="0" fontId="21" fillId="0" borderId="0" xfId="60" applyNumberFormat="1" applyFont="1" applyFill="1" applyAlignment="1" applyProtection="1">
      <alignment horizontal="left"/>
      <protection/>
    </xf>
    <xf numFmtId="49" fontId="10" fillId="34" borderId="49" xfId="62" applyNumberFormat="1" applyFont="1" applyFill="1" applyBorder="1" applyAlignment="1" applyProtection="1">
      <alignment horizontal="center"/>
      <protection locked="0"/>
    </xf>
    <xf numFmtId="0" fontId="118" fillId="0" borderId="0" xfId="0" applyFont="1" applyAlignment="1">
      <alignment/>
    </xf>
    <xf numFmtId="0" fontId="10" fillId="0" borderId="81" xfId="0" applyFont="1" applyBorder="1" applyAlignment="1" applyProtection="1">
      <alignment horizontal="center" vertical="center" wrapText="1"/>
      <protection/>
    </xf>
    <xf numFmtId="0" fontId="10" fillId="0" borderId="41" xfId="0" applyFont="1" applyBorder="1" applyAlignment="1" applyProtection="1">
      <alignment horizontal="center" vertical="center" wrapText="1"/>
      <protection/>
    </xf>
    <xf numFmtId="0" fontId="3" fillId="0" borderId="0" xfId="60" applyFont="1" applyProtection="1">
      <alignment/>
      <protection/>
    </xf>
    <xf numFmtId="49" fontId="2" fillId="0" borderId="0" xfId="0" applyNumberFormat="1" applyFont="1" applyAlignment="1" quotePrefix="1">
      <alignment horizontal="left"/>
    </xf>
    <xf numFmtId="49" fontId="0" fillId="41" borderId="34" xfId="0" applyNumberFormat="1" applyFont="1" applyFill="1" applyBorder="1" applyAlignment="1">
      <alignment horizontal="left"/>
    </xf>
    <xf numFmtId="49" fontId="0" fillId="34" borderId="104" xfId="0" applyNumberFormat="1" applyFill="1" applyBorder="1" applyAlignment="1" applyProtection="1">
      <alignment horizontal="left" vertical="top"/>
      <protection locked="0"/>
    </xf>
    <xf numFmtId="0" fontId="2" fillId="33" borderId="30" xfId="0" applyFont="1" applyFill="1" applyBorder="1" applyAlignment="1" applyProtection="1">
      <alignment horizontal="right"/>
      <protection/>
    </xf>
    <xf numFmtId="49" fontId="3" fillId="0" borderId="0" xfId="56" applyNumberFormat="1" applyFont="1" applyFill="1" applyAlignment="1" applyProtection="1">
      <alignment horizontal="right"/>
      <protection locked="0"/>
    </xf>
    <xf numFmtId="0" fontId="119" fillId="0" borderId="35" xfId="0" applyFont="1" applyFill="1" applyBorder="1" applyAlignment="1" applyProtection="1">
      <alignment horizontal="centerContinuous"/>
      <protection/>
    </xf>
    <xf numFmtId="164" fontId="2" fillId="0" borderId="42" xfId="0" applyNumberFormat="1" applyFont="1" applyFill="1" applyBorder="1" applyAlignment="1" applyProtection="1">
      <alignment horizontal="center"/>
      <protection/>
    </xf>
    <xf numFmtId="0" fontId="3" fillId="0" borderId="0" xfId="0" applyFont="1" applyAlignment="1">
      <alignment/>
    </xf>
    <xf numFmtId="2" fontId="3" fillId="0" borderId="0" xfId="56" applyNumberFormat="1" applyProtection="1">
      <alignment/>
      <protection locked="0"/>
    </xf>
    <xf numFmtId="0" fontId="120" fillId="0" borderId="0" xfId="56" applyFont="1" applyProtection="1">
      <alignment/>
      <protection locked="0"/>
    </xf>
    <xf numFmtId="169" fontId="0" fillId="0" borderId="0" xfId="62" applyNumberFormat="1" applyFont="1">
      <alignment/>
      <protection/>
    </xf>
    <xf numFmtId="164" fontId="5" fillId="34" borderId="49" xfId="56" applyNumberFormat="1" applyFont="1" applyFill="1" applyBorder="1" applyAlignment="1" applyProtection="1">
      <alignment horizontal="center"/>
      <protection locked="0"/>
    </xf>
    <xf numFmtId="165" fontId="5" fillId="34" borderId="49" xfId="56" applyNumberFormat="1" applyFont="1" applyFill="1" applyBorder="1" applyAlignment="1" applyProtection="1" quotePrefix="1">
      <alignment horizontal="center"/>
      <protection locked="0"/>
    </xf>
    <xf numFmtId="2" fontId="5" fillId="34" borderId="49" xfId="56" applyNumberFormat="1" applyFont="1" applyFill="1" applyBorder="1" applyAlignment="1" applyProtection="1">
      <alignment horizontal="center"/>
      <protection locked="0"/>
    </xf>
    <xf numFmtId="165" fontId="5" fillId="34" borderId="49" xfId="56" applyNumberFormat="1" applyFont="1" applyFill="1" applyBorder="1" applyAlignment="1" applyProtection="1">
      <alignment horizontal="center"/>
      <protection locked="0"/>
    </xf>
    <xf numFmtId="164" fontId="3" fillId="34" borderId="35" xfId="60" applyNumberFormat="1" applyFont="1" applyFill="1" applyBorder="1" applyAlignment="1" applyProtection="1">
      <alignment horizontal="center"/>
      <protection locked="0"/>
    </xf>
    <xf numFmtId="165" fontId="6" fillId="0" borderId="0" xfId="62" applyNumberFormat="1" applyFont="1" applyFill="1" applyBorder="1" applyAlignment="1" applyProtection="1">
      <alignment horizontal="left"/>
      <protection/>
    </xf>
    <xf numFmtId="0" fontId="0" fillId="0" borderId="0" xfId="62" applyFont="1" applyBorder="1" applyAlignment="1">
      <alignment horizontal="left"/>
      <protection/>
    </xf>
    <xf numFmtId="0" fontId="0" fillId="0" borderId="0" xfId="0" applyFill="1" applyBorder="1" applyAlignment="1" applyProtection="1">
      <alignment horizontal="left"/>
      <protection/>
    </xf>
    <xf numFmtId="0" fontId="6" fillId="34" borderId="21" xfId="0" applyFont="1" applyFill="1" applyBorder="1" applyAlignment="1" applyProtection="1">
      <alignment vertical="top" wrapText="1"/>
      <protection locked="0"/>
    </xf>
    <xf numFmtId="0" fontId="6" fillId="34" borderId="18" xfId="0" applyFont="1" applyFill="1" applyBorder="1" applyAlignment="1" applyProtection="1">
      <alignment vertical="top" wrapText="1"/>
      <protection locked="0"/>
    </xf>
    <xf numFmtId="0" fontId="6" fillId="34" borderId="23" xfId="0" applyFont="1" applyFill="1" applyBorder="1" applyAlignment="1" applyProtection="1">
      <alignment vertical="top" wrapText="1"/>
      <protection locked="0"/>
    </xf>
    <xf numFmtId="0" fontId="6" fillId="34" borderId="19" xfId="0" applyFont="1" applyFill="1" applyBorder="1" applyAlignment="1" applyProtection="1">
      <alignment vertical="top" wrapText="1"/>
      <protection locked="0"/>
    </xf>
    <xf numFmtId="0" fontId="2" fillId="35" borderId="110" xfId="62" applyFont="1" applyFill="1" applyBorder="1" applyAlignment="1" applyProtection="1">
      <alignment horizontal="center"/>
      <protection locked="0"/>
    </xf>
    <xf numFmtId="0" fontId="2" fillId="35" borderId="111" xfId="62" applyFont="1" applyFill="1" applyBorder="1" applyAlignment="1" applyProtection="1">
      <alignment horizontal="center"/>
      <protection locked="0"/>
    </xf>
    <xf numFmtId="0" fontId="2" fillId="35" borderId="112" xfId="62" applyFont="1" applyFill="1" applyBorder="1" applyAlignment="1" applyProtection="1">
      <alignment horizontal="center"/>
      <protection locked="0"/>
    </xf>
    <xf numFmtId="164" fontId="6" fillId="34" borderId="94" xfId="62" applyNumberFormat="1" applyFont="1" applyFill="1" applyBorder="1" applyAlignment="1" applyProtection="1">
      <alignment horizontal="center"/>
      <protection locked="0"/>
    </xf>
    <xf numFmtId="164" fontId="6" fillId="34" borderId="77" xfId="62" applyNumberFormat="1" applyFont="1" applyFill="1" applyBorder="1" applyAlignment="1" applyProtection="1">
      <alignment horizontal="center"/>
      <protection locked="0"/>
    </xf>
    <xf numFmtId="0" fontId="0" fillId="35" borderId="94" xfId="62" applyFont="1" applyFill="1" applyBorder="1" applyAlignment="1" applyProtection="1">
      <alignment horizontal="center"/>
      <protection locked="0"/>
    </xf>
    <xf numFmtId="0" fontId="0" fillId="35" borderId="56" xfId="62" applyFont="1" applyFill="1" applyBorder="1" applyAlignment="1" applyProtection="1">
      <alignment horizontal="center"/>
      <protection locked="0"/>
    </xf>
    <xf numFmtId="0" fontId="0" fillId="35" borderId="77" xfId="62" applyFont="1" applyFill="1" applyBorder="1" applyAlignment="1" applyProtection="1">
      <alignment horizontal="center"/>
      <protection locked="0"/>
    </xf>
    <xf numFmtId="0" fontId="0" fillId="35" borderId="100" xfId="62" applyFont="1" applyFill="1" applyBorder="1" applyAlignment="1" applyProtection="1">
      <alignment horizontal="center"/>
      <protection locked="0"/>
    </xf>
    <xf numFmtId="0" fontId="0" fillId="35" borderId="83" xfId="62" applyFont="1" applyFill="1" applyBorder="1" applyAlignment="1" applyProtection="1">
      <alignment horizontal="center"/>
      <protection locked="0"/>
    </xf>
    <xf numFmtId="0" fontId="0" fillId="35" borderId="63" xfId="62" applyFont="1" applyFill="1" applyBorder="1" applyAlignment="1" applyProtection="1">
      <alignment horizontal="center"/>
      <protection locked="0"/>
    </xf>
    <xf numFmtId="0" fontId="2" fillId="0" borderId="31" xfId="62" applyFont="1" applyBorder="1" applyAlignment="1">
      <alignment horizontal="center"/>
      <protection/>
    </xf>
    <xf numFmtId="0" fontId="2" fillId="0" borderId="33" xfId="62" applyFont="1" applyBorder="1" applyAlignment="1">
      <alignment horizontal="center"/>
      <protection/>
    </xf>
    <xf numFmtId="0" fontId="2" fillId="0" borderId="27" xfId="62" applyFont="1" applyBorder="1" applyAlignment="1">
      <alignment horizontal="center"/>
      <protection/>
    </xf>
    <xf numFmtId="0" fontId="10" fillId="0" borderId="31" xfId="62" applyFont="1" applyBorder="1" applyAlignment="1" applyProtection="1">
      <alignment horizontal="center"/>
      <protection/>
    </xf>
    <xf numFmtId="0" fontId="10" fillId="0" borderId="33" xfId="62" applyFont="1" applyBorder="1" applyAlignment="1" applyProtection="1">
      <alignment horizontal="center"/>
      <protection/>
    </xf>
    <xf numFmtId="0" fontId="10" fillId="0" borderId="32" xfId="62" applyFont="1" applyBorder="1" applyAlignment="1" applyProtection="1">
      <alignment horizontal="center"/>
      <protection/>
    </xf>
    <xf numFmtId="0" fontId="0" fillId="35" borderId="43" xfId="0" applyFill="1" applyBorder="1" applyAlignment="1" applyProtection="1">
      <alignment horizontal="center"/>
      <protection locked="0"/>
    </xf>
    <xf numFmtId="0" fontId="0" fillId="35" borderId="20" xfId="0" applyFill="1" applyBorder="1" applyAlignment="1" applyProtection="1">
      <alignment horizontal="center"/>
      <protection locked="0"/>
    </xf>
    <xf numFmtId="0" fontId="0" fillId="35" borderId="14" xfId="0" applyFill="1" applyBorder="1" applyAlignment="1" applyProtection="1">
      <alignment horizontal="center"/>
      <protection locked="0"/>
    </xf>
    <xf numFmtId="0" fontId="0" fillId="35" borderId="45" xfId="0" applyFill="1" applyBorder="1" applyAlignment="1" applyProtection="1">
      <alignment horizontal="center"/>
      <protection locked="0"/>
    </xf>
    <xf numFmtId="0" fontId="0" fillId="35" borderId="56" xfId="0" applyFill="1" applyBorder="1" applyAlignment="1" applyProtection="1">
      <alignment horizontal="center"/>
      <protection locked="0"/>
    </xf>
    <xf numFmtId="0" fontId="0" fillId="35" borderId="78" xfId="0" applyFill="1" applyBorder="1" applyAlignment="1" applyProtection="1">
      <alignment horizontal="center"/>
      <protection locked="0"/>
    </xf>
    <xf numFmtId="0" fontId="0" fillId="35" borderId="74" xfId="62" applyFont="1" applyFill="1" applyBorder="1" applyAlignment="1" applyProtection="1">
      <alignment horizontal="center"/>
      <protection locked="0"/>
    </xf>
    <xf numFmtId="0" fontId="0" fillId="35" borderId="20" xfId="62" applyFont="1" applyFill="1" applyBorder="1" applyAlignment="1" applyProtection="1">
      <alignment horizontal="center"/>
      <protection locked="0"/>
    </xf>
    <xf numFmtId="0" fontId="0" fillId="35" borderId="44" xfId="62" applyFont="1" applyFill="1" applyBorder="1" applyAlignment="1" applyProtection="1">
      <alignment horizontal="center"/>
      <protection locked="0"/>
    </xf>
    <xf numFmtId="0" fontId="10" fillId="0" borderId="33" xfId="62" applyFont="1" applyBorder="1" applyAlignment="1">
      <alignment horizontal="center"/>
      <protection/>
    </xf>
    <xf numFmtId="0" fontId="10" fillId="0" borderId="27" xfId="62" applyFont="1" applyBorder="1" applyAlignment="1">
      <alignment horizontal="center"/>
      <protection/>
    </xf>
    <xf numFmtId="0" fontId="0" fillId="0" borderId="21" xfId="62" applyFont="1" applyFill="1" applyBorder="1" applyAlignment="1" applyProtection="1">
      <alignment/>
      <protection/>
    </xf>
    <xf numFmtId="164" fontId="6" fillId="34" borderId="74" xfId="62" applyNumberFormat="1" applyFont="1" applyFill="1" applyBorder="1" applyAlignment="1" applyProtection="1">
      <alignment horizontal="center"/>
      <protection locked="0"/>
    </xf>
    <xf numFmtId="164" fontId="6" fillId="34" borderId="14" xfId="62" applyNumberFormat="1" applyFont="1" applyFill="1" applyBorder="1" applyAlignment="1" applyProtection="1">
      <alignment horizontal="center"/>
      <protection locked="0"/>
    </xf>
    <xf numFmtId="0" fontId="0" fillId="34" borderId="94" xfId="0" applyFill="1" applyBorder="1" applyAlignment="1" applyProtection="1">
      <alignment horizontal="center"/>
      <protection/>
    </xf>
    <xf numFmtId="0" fontId="0" fillId="0" borderId="78" xfId="0" applyBorder="1" applyAlignment="1">
      <alignment/>
    </xf>
    <xf numFmtId="164" fontId="6" fillId="34" borderId="44" xfId="62" applyNumberFormat="1" applyFont="1" applyFill="1" applyBorder="1" applyAlignment="1" applyProtection="1">
      <alignment horizontal="center"/>
      <protection locked="0"/>
    </xf>
    <xf numFmtId="0" fontId="15" fillId="34" borderId="0" xfId="62" applyFont="1" applyFill="1" applyAlignment="1" applyProtection="1">
      <alignment horizontal="left"/>
      <protection locked="0"/>
    </xf>
    <xf numFmtId="0" fontId="0" fillId="34" borderId="74" xfId="0" applyFill="1" applyBorder="1" applyAlignment="1" applyProtection="1">
      <alignment horizontal="center"/>
      <protection/>
    </xf>
    <xf numFmtId="0" fontId="0" fillId="0" borderId="14" xfId="0" applyBorder="1" applyAlignment="1">
      <alignment/>
    </xf>
    <xf numFmtId="0" fontId="0" fillId="35" borderId="113" xfId="62" applyFont="1" applyFill="1" applyBorder="1" applyAlignment="1" applyProtection="1">
      <alignment vertical="top" wrapText="1"/>
      <protection locked="0"/>
    </xf>
    <xf numFmtId="0" fontId="0" fillId="0" borderId="114" xfId="0" applyBorder="1" applyAlignment="1" applyProtection="1">
      <alignment vertical="top" wrapText="1"/>
      <protection locked="0"/>
    </xf>
    <xf numFmtId="0" fontId="0" fillId="0" borderId="6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Alignment="1" applyProtection="1">
      <alignment vertical="top" wrapText="1"/>
      <protection locked="0"/>
    </xf>
    <xf numFmtId="0" fontId="0" fillId="0" borderId="30"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19" xfId="0" applyBorder="1" applyAlignment="1" applyProtection="1">
      <alignment vertical="top" wrapText="1"/>
      <protection locked="0"/>
    </xf>
    <xf numFmtId="0" fontId="10" fillId="0" borderId="43" xfId="62" applyFont="1" applyFill="1" applyBorder="1" applyAlignment="1" applyProtection="1">
      <alignment/>
      <protection/>
    </xf>
    <xf numFmtId="0" fontId="0" fillId="0" borderId="20" xfId="0" applyFill="1" applyBorder="1" applyAlignment="1">
      <alignment/>
    </xf>
    <xf numFmtId="0" fontId="0" fillId="0" borderId="44" xfId="0" applyFill="1" applyBorder="1" applyAlignment="1">
      <alignment/>
    </xf>
    <xf numFmtId="0" fontId="0" fillId="0" borderId="45" xfId="0" applyFont="1" applyFill="1" applyBorder="1" applyAlignment="1" applyProtection="1">
      <alignment horizontal="center"/>
      <protection locked="0"/>
    </xf>
    <xf numFmtId="0" fontId="0" fillId="0" borderId="78" xfId="0" applyFont="1" applyFill="1" applyBorder="1" applyAlignment="1" applyProtection="1">
      <alignment horizontal="center"/>
      <protection locked="0"/>
    </xf>
    <xf numFmtId="0" fontId="0" fillId="0" borderId="94" xfId="62" applyFont="1" applyFill="1" applyBorder="1" applyAlignment="1" applyProtection="1">
      <alignment horizontal="center"/>
      <protection locked="0"/>
    </xf>
    <xf numFmtId="0" fontId="0" fillId="0" borderId="56" xfId="62" applyFont="1" applyFill="1" applyBorder="1" applyAlignment="1" applyProtection="1">
      <alignment horizontal="center"/>
      <protection locked="0"/>
    </xf>
    <xf numFmtId="0" fontId="0" fillId="0" borderId="78" xfId="62" applyFont="1" applyFill="1" applyBorder="1" applyAlignment="1" applyProtection="1">
      <alignment horizontal="center"/>
      <protection locked="0"/>
    </xf>
    <xf numFmtId="0" fontId="0" fillId="0" borderId="94" xfId="0" applyFill="1" applyBorder="1" applyAlignment="1" applyProtection="1">
      <alignment horizontal="center"/>
      <protection locked="0"/>
    </xf>
    <xf numFmtId="0" fontId="0" fillId="0" borderId="78" xfId="0" applyFill="1" applyBorder="1" applyAlignment="1" applyProtection="1">
      <alignment horizontal="center"/>
      <protection locked="0"/>
    </xf>
    <xf numFmtId="0" fontId="0" fillId="0" borderId="100" xfId="0" applyFill="1" applyBorder="1" applyAlignment="1" applyProtection="1">
      <alignment horizontal="center"/>
      <protection locked="0"/>
    </xf>
    <xf numFmtId="0" fontId="0" fillId="0" borderId="62" xfId="0" applyFill="1" applyBorder="1" applyAlignment="1" applyProtection="1">
      <alignment horizontal="center"/>
      <protection locked="0"/>
    </xf>
    <xf numFmtId="0" fontId="0" fillId="0" borderId="100" xfId="62" applyFont="1" applyFill="1" applyBorder="1" applyAlignment="1" applyProtection="1">
      <alignment horizontal="center"/>
      <protection locked="0"/>
    </xf>
    <xf numFmtId="0" fontId="0" fillId="0" borderId="83" xfId="62" applyFont="1" applyFill="1" applyBorder="1" applyAlignment="1" applyProtection="1">
      <alignment horizontal="center"/>
      <protection locked="0"/>
    </xf>
    <xf numFmtId="0" fontId="0" fillId="0" borderId="62" xfId="62" applyFont="1" applyFill="1" applyBorder="1" applyAlignment="1" applyProtection="1">
      <alignment horizontal="center"/>
      <protection locked="0"/>
    </xf>
    <xf numFmtId="0" fontId="0" fillId="0" borderId="115" xfId="0" applyFont="1" applyFill="1" applyBorder="1" applyAlignment="1" applyProtection="1">
      <alignment horizontal="center"/>
      <protection locked="0"/>
    </xf>
    <xf numFmtId="0" fontId="0" fillId="0" borderId="6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74" xfId="62" applyFont="1" applyFill="1" applyBorder="1" applyAlignment="1" applyProtection="1">
      <alignment horizontal="center"/>
      <protection locked="0"/>
    </xf>
    <xf numFmtId="0" fontId="0" fillId="0" borderId="20" xfId="62" applyFont="1" applyFill="1" applyBorder="1" applyAlignment="1" applyProtection="1">
      <alignment horizontal="center"/>
      <protection locked="0"/>
    </xf>
    <xf numFmtId="0" fontId="0" fillId="0" borderId="14" xfId="62" applyFont="1" applyFill="1" applyBorder="1" applyAlignment="1" applyProtection="1">
      <alignment horizontal="center"/>
      <protection locked="0"/>
    </xf>
    <xf numFmtId="0" fontId="0" fillId="35" borderId="115" xfId="0" applyFill="1" applyBorder="1" applyAlignment="1" applyProtection="1">
      <alignment horizontal="center"/>
      <protection locked="0"/>
    </xf>
    <xf numFmtId="0" fontId="0" fillId="35" borderId="83" xfId="0" applyFill="1" applyBorder="1" applyAlignment="1" applyProtection="1">
      <alignment horizontal="center"/>
      <protection locked="0"/>
    </xf>
    <xf numFmtId="0" fontId="0" fillId="35" borderId="62" xfId="0" applyFill="1" applyBorder="1" applyAlignment="1" applyProtection="1">
      <alignment horizontal="center"/>
      <protection locked="0"/>
    </xf>
    <xf numFmtId="0" fontId="6" fillId="35" borderId="0" xfId="62" applyFont="1" applyFill="1" applyAlignment="1" applyProtection="1">
      <alignment horizontal="left"/>
      <protection locked="0"/>
    </xf>
    <xf numFmtId="0" fontId="0" fillId="0" borderId="0" xfId="0" applyAlignment="1" applyProtection="1">
      <alignment horizontal="left"/>
      <protection locked="0"/>
    </xf>
    <xf numFmtId="0" fontId="6" fillId="34" borderId="0" xfId="0" applyFont="1" applyFill="1" applyBorder="1" applyAlignment="1" applyProtection="1">
      <alignment horizontal="left"/>
      <protection locked="0"/>
    </xf>
    <xf numFmtId="0" fontId="6" fillId="34" borderId="0" xfId="62" applyFont="1" applyFill="1" applyAlignment="1" applyProtection="1">
      <alignment horizontal="left"/>
      <protection locked="0"/>
    </xf>
    <xf numFmtId="0" fontId="0" fillId="34" borderId="115" xfId="0" applyFont="1" applyFill="1" applyBorder="1" applyAlignment="1" applyProtection="1">
      <alignment horizontal="center"/>
      <protection locked="0"/>
    </xf>
    <xf numFmtId="0" fontId="0" fillId="34" borderId="62" xfId="0" applyFont="1" applyFill="1" applyBorder="1" applyAlignment="1" applyProtection="1">
      <alignment horizontal="center"/>
      <protection locked="0"/>
    </xf>
    <xf numFmtId="0" fontId="2" fillId="0" borderId="31" xfId="0" applyFont="1" applyBorder="1" applyAlignment="1">
      <alignment horizontal="center"/>
    </xf>
    <xf numFmtId="0" fontId="2" fillId="0" borderId="33" xfId="0" applyFont="1" applyBorder="1" applyAlignment="1">
      <alignment horizontal="center"/>
    </xf>
    <xf numFmtId="0" fontId="2" fillId="0" borderId="27" xfId="0" applyFont="1" applyBorder="1" applyAlignment="1">
      <alignment horizontal="center"/>
    </xf>
    <xf numFmtId="0" fontId="0" fillId="34" borderId="74" xfId="0" applyFill="1" applyBorder="1" applyAlignment="1" applyProtection="1">
      <alignment horizontal="center"/>
      <protection locked="0"/>
    </xf>
    <xf numFmtId="0" fontId="0" fillId="34" borderId="14" xfId="0" applyFill="1" applyBorder="1" applyAlignment="1" applyProtection="1">
      <alignment horizontal="center"/>
      <protection locked="0"/>
    </xf>
    <xf numFmtId="169" fontId="10" fillId="0" borderId="0" xfId="0" applyNumberFormat="1" applyFont="1" applyFill="1" applyBorder="1" applyAlignment="1" applyProtection="1">
      <alignment horizontal="center"/>
      <protection/>
    </xf>
    <xf numFmtId="0" fontId="6" fillId="0" borderId="0" xfId="0" applyFont="1" applyFill="1" applyAlignment="1" applyProtection="1">
      <alignment horizontal="left"/>
      <protection/>
    </xf>
    <xf numFmtId="0" fontId="6" fillId="34" borderId="0" xfId="62" applyFont="1" applyFill="1" applyAlignment="1" applyProtection="1">
      <alignment horizontal="left" wrapText="1"/>
      <protection locked="0"/>
    </xf>
    <xf numFmtId="0" fontId="0" fillId="34" borderId="43" xfId="0" applyFont="1" applyFill="1" applyBorder="1" applyAlignment="1" applyProtection="1">
      <alignment horizontal="center"/>
      <protection locked="0"/>
    </xf>
    <xf numFmtId="0" fontId="0" fillId="34" borderId="14" xfId="0" applyFont="1" applyFill="1" applyBorder="1" applyAlignment="1" applyProtection="1">
      <alignment horizontal="center"/>
      <protection locked="0"/>
    </xf>
    <xf numFmtId="0" fontId="0" fillId="34" borderId="74" xfId="62" applyFont="1" applyFill="1" applyBorder="1" applyAlignment="1" applyProtection="1">
      <alignment horizontal="center"/>
      <protection locked="0"/>
    </xf>
    <xf numFmtId="0" fontId="0" fillId="0" borderId="20" xfId="0" applyBorder="1" applyAlignment="1" applyProtection="1">
      <alignment/>
      <protection locked="0"/>
    </xf>
    <xf numFmtId="0" fontId="0" fillId="0" borderId="14" xfId="0" applyBorder="1" applyAlignment="1" applyProtection="1">
      <alignment/>
      <protection locked="0"/>
    </xf>
    <xf numFmtId="0" fontId="0" fillId="0" borderId="74"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34" borderId="45" xfId="0" applyFont="1" applyFill="1" applyBorder="1" applyAlignment="1" applyProtection="1">
      <alignment horizontal="center"/>
      <protection locked="0"/>
    </xf>
    <xf numFmtId="0" fontId="0" fillId="34" borderId="78" xfId="0" applyFont="1" applyFill="1" applyBorder="1" applyAlignment="1" applyProtection="1">
      <alignment horizontal="center"/>
      <protection locked="0"/>
    </xf>
    <xf numFmtId="0" fontId="0" fillId="34" borderId="45" xfId="0" applyFont="1" applyFill="1" applyBorder="1" applyAlignment="1" applyProtection="1">
      <alignment horizontal="center"/>
      <protection locked="0"/>
    </xf>
    <xf numFmtId="0" fontId="0" fillId="34" borderId="94" xfId="62" applyFont="1" applyFill="1" applyBorder="1" applyAlignment="1" applyProtection="1">
      <alignment horizontal="center"/>
      <protection locked="0"/>
    </xf>
    <xf numFmtId="0" fontId="0" fillId="0" borderId="56" xfId="0" applyBorder="1" applyAlignment="1" applyProtection="1">
      <alignment/>
      <protection locked="0"/>
    </xf>
    <xf numFmtId="0" fontId="0" fillId="0" borderId="78" xfId="0" applyBorder="1" applyAlignment="1" applyProtection="1">
      <alignment/>
      <protection locked="0"/>
    </xf>
    <xf numFmtId="0" fontId="0" fillId="34" borderId="94" xfId="0" applyFill="1" applyBorder="1" applyAlignment="1" applyProtection="1">
      <alignment horizontal="center"/>
      <protection locked="0"/>
    </xf>
    <xf numFmtId="0" fontId="0" fillId="34" borderId="78" xfId="0" applyFill="1" applyBorder="1" applyAlignment="1" applyProtection="1">
      <alignment horizontal="center"/>
      <protection locked="0"/>
    </xf>
    <xf numFmtId="0" fontId="6" fillId="0" borderId="0" xfId="0" applyFont="1" applyFill="1" applyBorder="1" applyAlignment="1" applyProtection="1">
      <alignment horizontal="left"/>
      <protection/>
    </xf>
    <xf numFmtId="0" fontId="10" fillId="34" borderId="82" xfId="0" applyNumberFormat="1" applyFont="1" applyFill="1" applyBorder="1" applyAlignment="1" applyProtection="1">
      <alignment horizontal="center"/>
      <protection locked="0"/>
    </xf>
    <xf numFmtId="0" fontId="10" fillId="34" borderId="83" xfId="0" applyNumberFormat="1" applyFont="1" applyFill="1" applyBorder="1" applyAlignment="1" applyProtection="1">
      <alignment horizontal="center"/>
      <protection locked="0"/>
    </xf>
    <xf numFmtId="0" fontId="10" fillId="34" borderId="63" xfId="0" applyNumberFormat="1" applyFont="1" applyFill="1" applyBorder="1" applyAlignment="1" applyProtection="1">
      <alignment horizontal="center"/>
      <protection locked="0"/>
    </xf>
    <xf numFmtId="0" fontId="0" fillId="34" borderId="44" xfId="62" applyFont="1" applyFill="1" applyBorder="1" applyAlignment="1" applyProtection="1">
      <alignment horizontal="center"/>
      <protection locked="0"/>
    </xf>
    <xf numFmtId="173" fontId="0" fillId="34" borderId="94" xfId="62" applyNumberFormat="1" applyFont="1" applyFill="1" applyBorder="1" applyAlignment="1" applyProtection="1">
      <alignment horizontal="center"/>
      <protection locked="0"/>
    </xf>
    <xf numFmtId="173" fontId="0" fillId="34" borderId="77" xfId="62" applyNumberFormat="1" applyFont="1" applyFill="1" applyBorder="1" applyAlignment="1" applyProtection="1">
      <alignment horizontal="center"/>
      <protection locked="0"/>
    </xf>
    <xf numFmtId="0" fontId="0" fillId="34" borderId="77" xfId="62" applyFont="1" applyFill="1" applyBorder="1" applyAlignment="1" applyProtection="1">
      <alignment horizontal="center"/>
      <protection locked="0"/>
    </xf>
    <xf numFmtId="0" fontId="0" fillId="34" borderId="115" xfId="62" applyFont="1" applyFill="1" applyBorder="1" applyAlignment="1" applyProtection="1">
      <alignment horizontal="center"/>
      <protection locked="0"/>
    </xf>
    <xf numFmtId="0" fontId="0" fillId="34" borderId="83" xfId="62" applyFont="1" applyFill="1" applyBorder="1" applyAlignment="1" applyProtection="1">
      <alignment horizontal="center"/>
      <protection locked="0"/>
    </xf>
    <xf numFmtId="0" fontId="0" fillId="34" borderId="63" xfId="62" applyFont="1" applyFill="1" applyBorder="1" applyAlignment="1" applyProtection="1">
      <alignment horizontal="center"/>
      <protection locked="0"/>
    </xf>
    <xf numFmtId="164" fontId="6" fillId="34" borderId="78" xfId="62" applyNumberFormat="1" applyFont="1" applyFill="1" applyBorder="1" applyAlignment="1" applyProtection="1">
      <alignment horizontal="center"/>
      <protection locked="0"/>
    </xf>
    <xf numFmtId="0" fontId="0" fillId="0" borderId="116" xfId="62" applyFont="1" applyBorder="1" applyAlignment="1">
      <alignment horizontal="center"/>
      <protection/>
    </xf>
    <xf numFmtId="0" fontId="0" fillId="0" borderId="77" xfId="62" applyFont="1" applyBorder="1" applyAlignment="1">
      <alignment horizontal="center"/>
      <protection/>
    </xf>
    <xf numFmtId="0" fontId="0" fillId="34" borderId="100" xfId="0" applyFill="1" applyBorder="1" applyAlignment="1" applyProtection="1">
      <alignment horizontal="center"/>
      <protection locked="0"/>
    </xf>
    <xf numFmtId="0" fontId="0" fillId="34" borderId="62" xfId="0" applyFill="1" applyBorder="1" applyAlignment="1" applyProtection="1">
      <alignment horizontal="center"/>
      <protection locked="0"/>
    </xf>
    <xf numFmtId="0" fontId="0" fillId="34" borderId="94" xfId="62" applyFont="1" applyFill="1" applyBorder="1" applyAlignment="1" applyProtection="1">
      <alignment horizontal="center"/>
      <protection locked="0"/>
    </xf>
    <xf numFmtId="0" fontId="0" fillId="34" borderId="100" xfId="0" applyFill="1" applyBorder="1" applyAlignment="1" applyProtection="1">
      <alignment horizontal="center"/>
      <protection/>
    </xf>
    <xf numFmtId="0" fontId="0" fillId="0" borderId="62" xfId="0" applyBorder="1" applyAlignment="1">
      <alignment/>
    </xf>
    <xf numFmtId="14" fontId="6" fillId="0" borderId="33" xfId="62" applyNumberFormat="1" applyFont="1" applyFill="1" applyBorder="1" applyAlignment="1" applyProtection="1">
      <alignment horizontal="center"/>
      <protection/>
    </xf>
    <xf numFmtId="14" fontId="6" fillId="0" borderId="32" xfId="62" applyNumberFormat="1" applyFont="1" applyFill="1" applyBorder="1" applyAlignment="1" applyProtection="1">
      <alignment horizontal="center"/>
      <protection/>
    </xf>
    <xf numFmtId="0" fontId="0" fillId="34" borderId="100" xfId="62" applyFont="1" applyFill="1" applyBorder="1" applyAlignment="1" applyProtection="1">
      <alignment horizontal="center"/>
      <protection locked="0"/>
    </xf>
    <xf numFmtId="0" fontId="0" fillId="0" borderId="83" xfId="0" applyBorder="1" applyAlignment="1" applyProtection="1">
      <alignment/>
      <protection locked="0"/>
    </xf>
    <xf numFmtId="0" fontId="0" fillId="0" borderId="62" xfId="0" applyBorder="1" applyAlignment="1" applyProtection="1">
      <alignment/>
      <protection locked="0"/>
    </xf>
    <xf numFmtId="0" fontId="10" fillId="0" borderId="33" xfId="62" applyFont="1" applyBorder="1" applyAlignment="1" applyProtection="1">
      <alignment horizontal="left"/>
      <protection/>
    </xf>
    <xf numFmtId="0" fontId="2" fillId="0" borderId="33" xfId="62" applyFont="1" applyFill="1" applyBorder="1" applyAlignment="1" applyProtection="1">
      <alignment horizontal="left" wrapText="1"/>
      <protection/>
    </xf>
    <xf numFmtId="0" fontId="2" fillId="0" borderId="27" xfId="62" applyFont="1" applyFill="1" applyBorder="1" applyAlignment="1" applyProtection="1">
      <alignment horizontal="left" wrapText="1"/>
      <protection/>
    </xf>
    <xf numFmtId="0" fontId="2" fillId="0" borderId="33" xfId="0" applyFont="1" applyFill="1" applyBorder="1" applyAlignment="1" applyProtection="1">
      <alignment horizontal="center"/>
      <protection/>
    </xf>
    <xf numFmtId="0" fontId="2" fillId="0" borderId="27" xfId="0" applyFont="1" applyFill="1" applyBorder="1" applyAlignment="1" applyProtection="1">
      <alignment horizontal="center"/>
      <protection/>
    </xf>
    <xf numFmtId="164" fontId="2" fillId="0" borderId="74" xfId="0" applyNumberFormat="1" applyFont="1" applyFill="1" applyBorder="1" applyAlignment="1" applyProtection="1">
      <alignment horizontal="center"/>
      <protection/>
    </xf>
    <xf numFmtId="164" fontId="2" fillId="0" borderId="44" xfId="0" applyNumberFormat="1" applyFont="1" applyFill="1" applyBorder="1" applyAlignment="1" applyProtection="1">
      <alignment horizontal="center"/>
      <protection/>
    </xf>
    <xf numFmtId="164" fontId="2" fillId="0" borderId="100" xfId="0" applyNumberFormat="1" applyFont="1" applyFill="1" applyBorder="1" applyAlignment="1" applyProtection="1">
      <alignment horizontal="center"/>
      <protection/>
    </xf>
    <xf numFmtId="164" fontId="2" fillId="0" borderId="63" xfId="0" applyNumberFormat="1" applyFont="1" applyFill="1" applyBorder="1" applyAlignment="1" applyProtection="1">
      <alignment horizontal="center"/>
      <protection/>
    </xf>
    <xf numFmtId="0" fontId="2" fillId="0" borderId="25" xfId="0" applyFont="1" applyFill="1" applyBorder="1" applyAlignment="1" applyProtection="1">
      <alignment horizontal="center"/>
      <protection/>
    </xf>
    <xf numFmtId="0" fontId="7" fillId="0" borderId="0" xfId="0" applyFont="1" applyAlignment="1" applyProtection="1">
      <alignment horizontal="center"/>
      <protection/>
    </xf>
    <xf numFmtId="0" fontId="21" fillId="0" borderId="0" xfId="60" applyFont="1" applyFill="1" applyAlignment="1" applyProtection="1">
      <alignment horizontal="left" vertical="top" wrapText="1"/>
      <protection/>
    </xf>
    <xf numFmtId="0" fontId="2" fillId="0" borderId="0" xfId="0" applyFont="1" applyBorder="1" applyAlignment="1">
      <alignment horizontal="center"/>
    </xf>
    <xf numFmtId="0" fontId="0" fillId="0" borderId="43"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121" fillId="0" borderId="0" xfId="0" applyFont="1" applyAlignment="1">
      <alignment horizontal="center"/>
    </xf>
    <xf numFmtId="0" fontId="2" fillId="0" borderId="115" xfId="0" applyFont="1" applyBorder="1" applyAlignment="1" applyProtection="1">
      <alignment horizontal="center"/>
      <protection/>
    </xf>
    <xf numFmtId="0" fontId="2" fillId="0" borderId="83" xfId="0" applyFont="1" applyBorder="1" applyAlignment="1" applyProtection="1">
      <alignment horizontal="center"/>
      <protection/>
    </xf>
    <xf numFmtId="0" fontId="2" fillId="0" borderId="62" xfId="0" applyFont="1" applyBorder="1" applyAlignment="1" applyProtection="1">
      <alignment horizontal="center"/>
      <protection/>
    </xf>
    <xf numFmtId="0" fontId="10" fillId="0" borderId="25" xfId="0" applyFont="1" applyBorder="1" applyAlignment="1" applyProtection="1">
      <alignment horizontal="center"/>
      <protection/>
    </xf>
    <xf numFmtId="0" fontId="10" fillId="0" borderId="32" xfId="0" applyFont="1" applyBorder="1" applyAlignment="1" applyProtection="1">
      <alignment horizontal="center"/>
      <protection/>
    </xf>
    <xf numFmtId="0" fontId="10" fillId="0" borderId="25" xfId="62" applyFont="1" applyBorder="1" applyAlignment="1" applyProtection="1">
      <alignment horizontal="center"/>
      <protection/>
    </xf>
    <xf numFmtId="0" fontId="2" fillId="0" borderId="43" xfId="0" applyFont="1" applyBorder="1" applyAlignment="1" applyProtection="1">
      <alignment horizontal="center"/>
      <protection/>
    </xf>
    <xf numFmtId="0" fontId="2" fillId="0" borderId="20"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45" xfId="0" applyFont="1" applyBorder="1" applyAlignment="1" applyProtection="1">
      <alignment horizontal="center"/>
      <protection/>
    </xf>
    <xf numFmtId="0" fontId="2" fillId="0" borderId="56" xfId="0" applyFont="1" applyBorder="1" applyAlignment="1" applyProtection="1">
      <alignment horizontal="center"/>
      <protection/>
    </xf>
    <xf numFmtId="0" fontId="2" fillId="0" borderId="78" xfId="0" applyFont="1" applyBorder="1" applyAlignment="1" applyProtection="1">
      <alignment horizontal="center"/>
      <protection/>
    </xf>
    <xf numFmtId="0" fontId="0" fillId="0" borderId="94" xfId="0" applyFill="1" applyBorder="1" applyAlignment="1" applyProtection="1">
      <alignment horizontal="center"/>
      <protection/>
    </xf>
    <xf numFmtId="0" fontId="0" fillId="0" borderId="78" xfId="0" applyFill="1" applyBorder="1" applyAlignment="1" applyProtection="1">
      <alignment horizontal="center"/>
      <protection/>
    </xf>
    <xf numFmtId="0" fontId="0" fillId="0" borderId="45" xfId="0" applyFont="1" applyFill="1" applyBorder="1" applyAlignment="1" applyProtection="1">
      <alignment horizontal="center"/>
      <protection/>
    </xf>
    <xf numFmtId="0" fontId="0" fillId="0" borderId="78" xfId="0" applyFont="1" applyFill="1" applyBorder="1" applyAlignment="1" applyProtection="1">
      <alignment horizontal="center"/>
      <protection/>
    </xf>
    <xf numFmtId="0" fontId="0" fillId="0" borderId="94" xfId="62" applyFont="1" applyFill="1" applyBorder="1" applyAlignment="1" applyProtection="1">
      <alignment horizontal="center"/>
      <protection/>
    </xf>
    <xf numFmtId="0" fontId="0" fillId="0" borderId="56" xfId="0" applyBorder="1" applyAlignment="1" applyProtection="1">
      <alignment/>
      <protection/>
    </xf>
    <xf numFmtId="0" fontId="0" fillId="0" borderId="115" xfId="0" applyFont="1" applyFill="1" applyBorder="1" applyAlignment="1" applyProtection="1">
      <alignment horizontal="center"/>
      <protection/>
    </xf>
    <xf numFmtId="0" fontId="0" fillId="0" borderId="62" xfId="0" applyFont="1" applyFill="1" applyBorder="1" applyAlignment="1" applyProtection="1">
      <alignment horizontal="center"/>
      <protection/>
    </xf>
    <xf numFmtId="0" fontId="0" fillId="0" borderId="100" xfId="62" applyFont="1" applyFill="1" applyBorder="1" applyAlignment="1" applyProtection="1">
      <alignment horizontal="center"/>
      <protection/>
    </xf>
    <xf numFmtId="0" fontId="0" fillId="0" borderId="83" xfId="0" applyBorder="1" applyAlignment="1" applyProtection="1">
      <alignment/>
      <protection/>
    </xf>
    <xf numFmtId="0" fontId="0" fillId="0" borderId="117" xfId="0" applyFill="1" applyBorder="1" applyAlignment="1" applyProtection="1">
      <alignment horizontal="center"/>
      <protection/>
    </xf>
    <xf numFmtId="0" fontId="0" fillId="0" borderId="12" xfId="0" applyFill="1" applyBorder="1" applyAlignment="1" applyProtection="1">
      <alignment horizontal="center"/>
      <protection/>
    </xf>
    <xf numFmtId="0" fontId="2" fillId="0" borderId="31" xfId="0" applyFont="1" applyBorder="1" applyAlignment="1" applyProtection="1">
      <alignment horizontal="center"/>
      <protection/>
    </xf>
    <xf numFmtId="0" fontId="2" fillId="0" borderId="33" xfId="0" applyFont="1" applyBorder="1" applyAlignment="1" applyProtection="1">
      <alignment horizontal="center"/>
      <protection/>
    </xf>
    <xf numFmtId="0" fontId="2" fillId="0" borderId="32" xfId="0" applyFont="1" applyBorder="1" applyAlignment="1" applyProtection="1">
      <alignment horizontal="center"/>
      <protection/>
    </xf>
    <xf numFmtId="0" fontId="0" fillId="0" borderId="74" xfId="62" applyFont="1" applyFill="1" applyBorder="1" applyAlignment="1" applyProtection="1">
      <alignment horizontal="center"/>
      <protection/>
    </xf>
    <xf numFmtId="0" fontId="0" fillId="0" borderId="20" xfId="0" applyBorder="1" applyAlignment="1" applyProtection="1">
      <alignment/>
      <protection/>
    </xf>
    <xf numFmtId="0" fontId="0" fillId="0" borderId="74" xfId="0" applyFill="1" applyBorder="1" applyAlignment="1" applyProtection="1">
      <alignment horizontal="center"/>
      <protection/>
    </xf>
    <xf numFmtId="0" fontId="0" fillId="0" borderId="14" xfId="0" applyBorder="1" applyAlignment="1" applyProtection="1">
      <alignment/>
      <protection/>
    </xf>
    <xf numFmtId="0" fontId="0" fillId="0" borderId="14" xfId="0" applyFill="1" applyBorder="1" applyAlignment="1" applyProtection="1">
      <alignment horizontal="center"/>
      <protection/>
    </xf>
    <xf numFmtId="0" fontId="3" fillId="35" borderId="56" xfId="55" applyFont="1" applyFill="1" applyBorder="1" applyAlignment="1" applyProtection="1">
      <alignment horizontal="center"/>
      <protection locked="0"/>
    </xf>
    <xf numFmtId="0" fontId="3" fillId="35" borderId="56" xfId="55" applyFont="1" applyFill="1" applyBorder="1" applyAlignment="1" applyProtection="1" quotePrefix="1">
      <alignment horizontal="center"/>
      <protection locked="0"/>
    </xf>
    <xf numFmtId="0" fontId="3" fillId="0" borderId="0" xfId="55" applyFont="1" applyFill="1" applyBorder="1" applyAlignment="1" applyProtection="1">
      <alignment horizontal="left" vertical="top" wrapText="1"/>
      <protection locked="0"/>
    </xf>
    <xf numFmtId="0" fontId="3" fillId="0" borderId="35" xfId="55" applyFont="1" applyFill="1" applyBorder="1" applyAlignment="1" applyProtection="1">
      <alignment horizontal="left" vertical="top" wrapText="1"/>
      <protection locked="0"/>
    </xf>
    <xf numFmtId="0" fontId="21" fillId="0" borderId="0" xfId="60" applyFont="1" applyFill="1" applyAlignment="1" applyProtection="1">
      <alignment horizontal="left"/>
      <protection locked="0"/>
    </xf>
    <xf numFmtId="0" fontId="6" fillId="0" borderId="0" xfId="61" applyFont="1" applyFill="1" applyAlignment="1" applyProtection="1">
      <alignment horizontal="left" vertical="top" wrapText="1"/>
      <protection/>
    </xf>
    <xf numFmtId="0" fontId="6" fillId="34" borderId="115" xfId="61" applyNumberFormat="1" applyFont="1" applyFill="1" applyBorder="1" applyAlignment="1" applyProtection="1">
      <alignment horizontal="center"/>
      <protection locked="0"/>
    </xf>
    <xf numFmtId="0" fontId="6" fillId="34" borderId="63" xfId="61" applyNumberFormat="1" applyFont="1" applyFill="1" applyBorder="1" applyAlignment="1" applyProtection="1">
      <alignment horizontal="center"/>
      <protection locked="0"/>
    </xf>
    <xf numFmtId="0" fontId="6" fillId="34" borderId="115" xfId="61" applyFont="1" applyFill="1" applyBorder="1" applyAlignment="1" applyProtection="1">
      <alignment horizontal="center"/>
      <protection locked="0"/>
    </xf>
    <xf numFmtId="0" fontId="6" fillId="34" borderId="83" xfId="61" applyFont="1" applyFill="1" applyBorder="1" applyAlignment="1" applyProtection="1">
      <alignment horizontal="center"/>
      <protection locked="0"/>
    </xf>
    <xf numFmtId="0" fontId="6" fillId="34" borderId="63" xfId="61" applyFont="1" applyFill="1" applyBorder="1" applyAlignment="1" applyProtection="1">
      <alignment horizontal="center"/>
      <protection locked="0"/>
    </xf>
    <xf numFmtId="0" fontId="6" fillId="34" borderId="74" xfId="0" applyFont="1" applyFill="1" applyBorder="1" applyAlignment="1" applyProtection="1">
      <alignment horizontal="center"/>
      <protection locked="0"/>
    </xf>
    <xf numFmtId="0" fontId="6" fillId="34" borderId="20" xfId="0" applyFont="1" applyFill="1" applyBorder="1" applyAlignment="1" applyProtection="1">
      <alignment horizontal="center"/>
      <protection locked="0"/>
    </xf>
    <xf numFmtId="0" fontId="6" fillId="34" borderId="44" xfId="0" applyFont="1" applyFill="1" applyBorder="1" applyAlignment="1" applyProtection="1">
      <alignment horizontal="center"/>
      <protection locked="0"/>
    </xf>
    <xf numFmtId="18" fontId="6" fillId="34" borderId="94" xfId="0" applyNumberFormat="1" applyFont="1" applyFill="1" applyBorder="1" applyAlignment="1" applyProtection="1">
      <alignment horizontal="center"/>
      <protection locked="0"/>
    </xf>
    <xf numFmtId="18" fontId="6" fillId="34" borderId="78" xfId="0" applyNumberFormat="1" applyFont="1" applyFill="1" applyBorder="1" applyAlignment="1" applyProtection="1">
      <alignment horizontal="center"/>
      <protection locked="0"/>
    </xf>
    <xf numFmtId="0" fontId="6" fillId="0" borderId="0" xfId="61" applyFont="1" applyAlignment="1">
      <alignment horizontal="left" vertical="top" wrapText="1"/>
      <protection/>
    </xf>
    <xf numFmtId="0" fontId="6" fillId="34" borderId="94" xfId="0" applyFont="1" applyFill="1" applyBorder="1" applyAlignment="1" applyProtection="1">
      <alignment horizontal="center"/>
      <protection locked="0"/>
    </xf>
    <xf numFmtId="0" fontId="6" fillId="34" borderId="56" xfId="0" applyFont="1" applyFill="1" applyBorder="1" applyAlignment="1" applyProtection="1">
      <alignment horizontal="center"/>
      <protection locked="0"/>
    </xf>
    <xf numFmtId="0" fontId="6" fillId="34" borderId="77" xfId="0" applyFont="1" applyFill="1" applyBorder="1" applyAlignment="1" applyProtection="1">
      <alignment horizontal="center"/>
      <protection locked="0"/>
    </xf>
    <xf numFmtId="0" fontId="6" fillId="34" borderId="100" xfId="0" applyFont="1" applyFill="1" applyBorder="1" applyAlignment="1" applyProtection="1">
      <alignment horizontal="center"/>
      <protection locked="0"/>
    </xf>
    <xf numFmtId="0" fontId="6" fillId="34" borderId="83" xfId="0" applyFont="1" applyFill="1" applyBorder="1" applyAlignment="1" applyProtection="1">
      <alignment horizontal="center"/>
      <protection locked="0"/>
    </xf>
    <xf numFmtId="0" fontId="6" fillId="34" borderId="63" xfId="0" applyFont="1" applyFill="1" applyBorder="1" applyAlignment="1" applyProtection="1">
      <alignment horizontal="center"/>
      <protection locked="0"/>
    </xf>
    <xf numFmtId="18" fontId="6" fillId="34" borderId="74" xfId="0" applyNumberFormat="1" applyFont="1" applyFill="1" applyBorder="1" applyAlignment="1" applyProtection="1">
      <alignment horizontal="center"/>
      <protection locked="0"/>
    </xf>
    <xf numFmtId="18" fontId="6" fillId="34" borderId="14" xfId="0" applyNumberFormat="1" applyFont="1" applyFill="1" applyBorder="1" applyAlignment="1" applyProtection="1">
      <alignment horizontal="center"/>
      <protection locked="0"/>
    </xf>
    <xf numFmtId="18" fontId="6" fillId="34" borderId="100" xfId="0" applyNumberFormat="1" applyFont="1" applyFill="1" applyBorder="1" applyAlignment="1" applyProtection="1">
      <alignment horizontal="center"/>
      <protection locked="0"/>
    </xf>
    <xf numFmtId="18" fontId="6" fillId="34" borderId="62" xfId="0" applyNumberFormat="1" applyFont="1" applyFill="1" applyBorder="1" applyAlignment="1" applyProtection="1">
      <alignment horizontal="center"/>
      <protection locked="0"/>
    </xf>
    <xf numFmtId="14" fontId="6" fillId="34" borderId="94" xfId="0" applyNumberFormat="1" applyFont="1" applyFill="1" applyBorder="1" applyAlignment="1" applyProtection="1">
      <alignment horizontal="center"/>
      <protection locked="0"/>
    </xf>
    <xf numFmtId="14" fontId="6" fillId="34" borderId="78" xfId="0" applyNumberFormat="1" applyFont="1" applyFill="1" applyBorder="1" applyAlignment="1" applyProtection="1">
      <alignment horizontal="center"/>
      <protection locked="0"/>
    </xf>
    <xf numFmtId="14" fontId="6" fillId="34" borderId="100" xfId="0" applyNumberFormat="1" applyFont="1" applyFill="1" applyBorder="1" applyAlignment="1" applyProtection="1">
      <alignment horizontal="center"/>
      <protection locked="0"/>
    </xf>
    <xf numFmtId="14" fontId="6" fillId="34" borderId="62" xfId="0" applyNumberFormat="1" applyFont="1" applyFill="1" applyBorder="1" applyAlignment="1" applyProtection="1">
      <alignment horizontal="center"/>
      <protection locked="0"/>
    </xf>
    <xf numFmtId="14" fontId="6" fillId="34" borderId="74" xfId="0" applyNumberFormat="1" applyFont="1" applyFill="1" applyBorder="1" applyAlignment="1" applyProtection="1">
      <alignment horizontal="center"/>
      <protection locked="0"/>
    </xf>
    <xf numFmtId="14" fontId="6" fillId="34" borderId="14" xfId="0" applyNumberFormat="1" applyFont="1" applyFill="1" applyBorder="1" applyAlignment="1" applyProtection="1">
      <alignment horizontal="center"/>
      <protection locked="0"/>
    </xf>
    <xf numFmtId="0" fontId="6" fillId="35" borderId="100" xfId="62" applyFont="1" applyFill="1" applyBorder="1" applyAlignment="1" applyProtection="1">
      <alignment horizontal="center" vertical="top"/>
      <protection locked="0"/>
    </xf>
    <xf numFmtId="0" fontId="6" fillId="35" borderId="83" xfId="62" applyFont="1" applyFill="1" applyBorder="1" applyAlignment="1" applyProtection="1">
      <alignment horizontal="center" vertical="top"/>
      <protection locked="0"/>
    </xf>
    <xf numFmtId="0" fontId="6" fillId="35" borderId="63" xfId="62" applyFont="1" applyFill="1" applyBorder="1" applyAlignment="1" applyProtection="1">
      <alignment horizontal="center" vertical="top"/>
      <protection locked="0"/>
    </xf>
    <xf numFmtId="0" fontId="6" fillId="35" borderId="94" xfId="62" applyFont="1" applyFill="1" applyBorder="1" applyAlignment="1" applyProtection="1">
      <alignment horizontal="center" vertical="top"/>
      <protection locked="0"/>
    </xf>
    <xf numFmtId="0" fontId="6" fillId="35" borderId="56" xfId="62" applyFont="1" applyFill="1" applyBorder="1" applyAlignment="1" applyProtection="1">
      <alignment horizontal="center" vertical="top"/>
      <protection locked="0"/>
    </xf>
    <xf numFmtId="0" fontId="6" fillId="35" borderId="77" xfId="62" applyFont="1" applyFill="1" applyBorder="1" applyAlignment="1" applyProtection="1">
      <alignment horizontal="center" vertical="top"/>
      <protection locked="0"/>
    </xf>
    <xf numFmtId="0" fontId="6" fillId="35" borderId="74" xfId="62" applyFont="1" applyFill="1" applyBorder="1" applyAlignment="1" applyProtection="1">
      <alignment horizontal="center" vertical="top"/>
      <protection locked="0"/>
    </xf>
    <xf numFmtId="0" fontId="6" fillId="35" borderId="20" xfId="62" applyFont="1" applyFill="1" applyBorder="1" applyAlignment="1" applyProtection="1">
      <alignment horizontal="center" vertical="top"/>
      <protection locked="0"/>
    </xf>
    <xf numFmtId="0" fontId="6" fillId="35" borderId="44" xfId="62" applyFont="1" applyFill="1" applyBorder="1" applyAlignment="1" applyProtection="1">
      <alignment horizontal="center" vertical="top"/>
      <protection locked="0"/>
    </xf>
    <xf numFmtId="0" fontId="10" fillId="39" borderId="110" xfId="62" applyFont="1" applyFill="1" applyBorder="1" applyAlignment="1" applyProtection="1">
      <alignment horizontal="center" vertical="top"/>
      <protection locked="0"/>
    </xf>
    <xf numFmtId="0" fontId="10" fillId="39" borderId="111" xfId="62" applyFont="1" applyFill="1" applyBorder="1" applyAlignment="1" applyProtection="1">
      <alignment horizontal="center" vertical="top"/>
      <protection locked="0"/>
    </xf>
    <xf numFmtId="0" fontId="10" fillId="39" borderId="112" xfId="62" applyFont="1" applyFill="1" applyBorder="1" applyAlignment="1" applyProtection="1">
      <alignment horizontal="center" vertical="top"/>
      <protection locked="0"/>
    </xf>
    <xf numFmtId="0" fontId="6" fillId="35" borderId="115" xfId="0" applyFont="1" applyFill="1" applyBorder="1" applyAlignment="1" applyProtection="1">
      <alignment horizontal="center" vertical="top"/>
      <protection locked="0"/>
    </xf>
    <xf numFmtId="0" fontId="6" fillId="35" borderId="83" xfId="0" applyFont="1" applyFill="1" applyBorder="1" applyAlignment="1" applyProtection="1">
      <alignment horizontal="center" vertical="top"/>
      <protection locked="0"/>
    </xf>
    <xf numFmtId="0" fontId="6" fillId="35" borderId="62" xfId="0" applyFont="1" applyFill="1" applyBorder="1" applyAlignment="1" applyProtection="1">
      <alignment horizontal="center" vertical="top"/>
      <protection locked="0"/>
    </xf>
    <xf numFmtId="0" fontId="6" fillId="35" borderId="45" xfId="0" applyFont="1" applyFill="1" applyBorder="1" applyAlignment="1" applyProtection="1">
      <alignment horizontal="center" vertical="top"/>
      <protection locked="0"/>
    </xf>
    <xf numFmtId="0" fontId="6" fillId="35" borderId="56" xfId="0" applyFont="1" applyFill="1" applyBorder="1" applyAlignment="1" applyProtection="1">
      <alignment horizontal="center" vertical="top"/>
      <protection locked="0"/>
    </xf>
    <xf numFmtId="0" fontId="6" fillId="35" borderId="78" xfId="0" applyFont="1" applyFill="1" applyBorder="1" applyAlignment="1" applyProtection="1">
      <alignment horizontal="center" vertical="top"/>
      <protection locked="0"/>
    </xf>
    <xf numFmtId="0" fontId="6" fillId="35" borderId="100" xfId="0" applyFont="1" applyFill="1" applyBorder="1" applyAlignment="1" applyProtection="1">
      <alignment horizontal="center" vertical="top"/>
      <protection locked="0"/>
    </xf>
    <xf numFmtId="0" fontId="6" fillId="35" borderId="62" xfId="0" applyFont="1" applyFill="1" applyBorder="1" applyAlignment="1" applyProtection="1">
      <alignment horizontal="center" vertical="top"/>
      <protection locked="0"/>
    </xf>
    <xf numFmtId="0" fontId="10" fillId="39" borderId="31" xfId="62" applyFont="1" applyFill="1" applyBorder="1" applyAlignment="1">
      <alignment horizontal="center" vertical="top"/>
      <protection/>
    </xf>
    <xf numFmtId="0" fontId="10" fillId="39" borderId="33" xfId="62" applyFont="1" applyFill="1" applyBorder="1" applyAlignment="1">
      <alignment horizontal="center" vertical="top"/>
      <protection/>
    </xf>
    <xf numFmtId="0" fontId="10" fillId="39" borderId="27" xfId="62" applyFont="1" applyFill="1" applyBorder="1" applyAlignment="1">
      <alignment horizontal="center" vertical="top"/>
      <protection/>
    </xf>
    <xf numFmtId="0" fontId="10" fillId="39" borderId="31" xfId="62" applyFont="1" applyFill="1" applyBorder="1" applyAlignment="1" applyProtection="1">
      <alignment horizontal="center" vertical="top"/>
      <protection/>
    </xf>
    <xf numFmtId="0" fontId="10" fillId="39" borderId="33" xfId="62" applyFont="1" applyFill="1" applyBorder="1" applyAlignment="1" applyProtection="1">
      <alignment horizontal="center" vertical="top"/>
      <protection/>
    </xf>
    <xf numFmtId="0" fontId="10" fillId="39" borderId="32" xfId="62" applyFont="1" applyFill="1" applyBorder="1" applyAlignment="1" applyProtection="1">
      <alignment horizontal="center" vertical="top"/>
      <protection/>
    </xf>
    <xf numFmtId="0" fontId="10" fillId="39" borderId="25" xfId="62" applyFont="1" applyFill="1" applyBorder="1" applyAlignment="1" quotePrefix="1">
      <alignment horizontal="center" vertical="top"/>
      <protection/>
    </xf>
    <xf numFmtId="0" fontId="6" fillId="39" borderId="45" xfId="62" applyFont="1" applyFill="1" applyBorder="1" applyAlignment="1" applyProtection="1">
      <alignment horizontal="center" vertical="top"/>
      <protection/>
    </xf>
    <xf numFmtId="0" fontId="6" fillId="39" borderId="56" xfId="62" applyFont="1" applyFill="1" applyBorder="1" applyAlignment="1" applyProtection="1">
      <alignment horizontal="center" vertical="top"/>
      <protection/>
    </xf>
    <xf numFmtId="0" fontId="6" fillId="39" borderId="118" xfId="62" applyFont="1" applyFill="1" applyBorder="1" applyAlignment="1" applyProtection="1">
      <alignment horizontal="center" vertical="top"/>
      <protection/>
    </xf>
    <xf numFmtId="0" fontId="6" fillId="35" borderId="43" xfId="0" applyFont="1" applyFill="1" applyBorder="1" applyAlignment="1" applyProtection="1">
      <alignment horizontal="center" vertical="top"/>
      <protection locked="0"/>
    </xf>
    <xf numFmtId="0" fontId="6" fillId="35" borderId="20" xfId="0" applyFont="1" applyFill="1" applyBorder="1" applyAlignment="1" applyProtection="1">
      <alignment horizontal="center" vertical="top"/>
      <protection locked="0"/>
    </xf>
    <xf numFmtId="0" fontId="6" fillId="35" borderId="14" xfId="0" applyFont="1" applyFill="1" applyBorder="1" applyAlignment="1" applyProtection="1">
      <alignment horizontal="center" vertical="top"/>
      <protection locked="0"/>
    </xf>
    <xf numFmtId="0" fontId="6" fillId="35" borderId="78" xfId="62" applyFont="1" applyFill="1" applyBorder="1" applyAlignment="1" applyProtection="1">
      <alignment horizontal="center" vertical="top"/>
      <protection locked="0"/>
    </xf>
    <xf numFmtId="0" fontId="6" fillId="35" borderId="43" xfId="0" applyFont="1" applyFill="1" applyBorder="1" applyAlignment="1" applyProtection="1">
      <alignment horizontal="center" vertical="top"/>
      <protection locked="0"/>
    </xf>
    <xf numFmtId="0" fontId="6" fillId="35" borderId="14" xfId="0" applyFont="1" applyFill="1" applyBorder="1" applyAlignment="1" applyProtection="1">
      <alignment horizontal="center" vertical="top"/>
      <protection locked="0"/>
    </xf>
    <xf numFmtId="0" fontId="6" fillId="35" borderId="94" xfId="0" applyFont="1" applyFill="1" applyBorder="1" applyAlignment="1" applyProtection="1">
      <alignment horizontal="center" vertical="top"/>
      <protection locked="0"/>
    </xf>
    <xf numFmtId="0" fontId="6" fillId="35" borderId="78" xfId="0" applyFont="1" applyFill="1" applyBorder="1" applyAlignment="1" applyProtection="1">
      <alignment horizontal="center" vertical="top"/>
      <protection locked="0"/>
    </xf>
    <xf numFmtId="0" fontId="6" fillId="35" borderId="115" xfId="0" applyFont="1" applyFill="1" applyBorder="1" applyAlignment="1" applyProtection="1">
      <alignment horizontal="center" vertical="top"/>
      <protection locked="0"/>
    </xf>
    <xf numFmtId="0" fontId="5" fillId="39" borderId="31" xfId="55" applyFont="1" applyFill="1" applyBorder="1" applyAlignment="1" applyProtection="1">
      <alignment horizontal="center" vertical="top"/>
      <protection/>
    </xf>
    <xf numFmtId="0" fontId="5" fillId="39" borderId="33" xfId="55" applyFont="1" applyFill="1" applyBorder="1" applyAlignment="1" applyProtection="1">
      <alignment horizontal="center" vertical="top"/>
      <protection/>
    </xf>
    <xf numFmtId="0" fontId="5" fillId="39" borderId="27" xfId="55" applyFont="1" applyFill="1" applyBorder="1" applyAlignment="1" applyProtection="1">
      <alignment horizontal="center" vertical="top"/>
      <protection/>
    </xf>
    <xf numFmtId="0" fontId="21" fillId="39" borderId="43" xfId="55" applyFont="1" applyFill="1" applyBorder="1" applyAlignment="1" applyProtection="1">
      <alignment horizontal="left" vertical="top"/>
      <protection/>
    </xf>
    <xf numFmtId="0" fontId="21" fillId="39" borderId="14" xfId="55" applyFont="1" applyFill="1" applyBorder="1" applyAlignment="1" applyProtection="1">
      <alignment horizontal="left" vertical="top"/>
      <protection/>
    </xf>
    <xf numFmtId="0" fontId="21" fillId="39" borderId="45" xfId="55" applyFont="1" applyFill="1" applyBorder="1" applyAlignment="1" applyProtection="1">
      <alignment horizontal="left" vertical="top"/>
      <protection/>
    </xf>
    <xf numFmtId="0" fontId="21" fillId="39" borderId="78" xfId="55" applyFont="1" applyFill="1" applyBorder="1" applyAlignment="1" applyProtection="1">
      <alignment horizontal="left" vertical="top"/>
      <protection/>
    </xf>
    <xf numFmtId="0" fontId="21" fillId="39" borderId="115" xfId="55" applyFont="1" applyFill="1" applyBorder="1" applyAlignment="1" applyProtection="1">
      <alignment horizontal="left" vertical="top"/>
      <protection/>
    </xf>
    <xf numFmtId="0" fontId="21" fillId="39" borderId="62" xfId="55" applyFont="1" applyFill="1" applyBorder="1" applyAlignment="1" applyProtection="1">
      <alignment horizontal="left" vertical="top"/>
      <protection/>
    </xf>
    <xf numFmtId="0" fontId="21" fillId="39" borderId="43" xfId="62" applyFont="1" applyFill="1" applyBorder="1" applyAlignment="1" applyProtection="1">
      <alignment horizontal="left" vertical="top"/>
      <protection/>
    </xf>
    <xf numFmtId="0" fontId="21" fillId="39" borderId="14" xfId="62" applyFont="1" applyFill="1" applyBorder="1" applyAlignment="1" applyProtection="1">
      <alignment horizontal="left" vertical="top"/>
      <protection/>
    </xf>
    <xf numFmtId="0" fontId="6" fillId="35" borderId="45" xfId="0" applyFont="1" applyFill="1" applyBorder="1" applyAlignment="1" applyProtection="1">
      <alignment horizontal="center" vertical="top"/>
      <protection locked="0"/>
    </xf>
    <xf numFmtId="0" fontId="6" fillId="35" borderId="62" xfId="62" applyFont="1" applyFill="1" applyBorder="1" applyAlignment="1" applyProtection="1">
      <alignment horizontal="center" vertical="top"/>
      <protection locked="0"/>
    </xf>
    <xf numFmtId="0" fontId="6" fillId="35" borderId="21" xfId="0" applyFont="1" applyFill="1" applyBorder="1" applyAlignment="1" applyProtection="1">
      <alignment horizontal="center" vertical="top" wrapText="1"/>
      <protection locked="0"/>
    </xf>
    <xf numFmtId="0" fontId="6" fillId="35" borderId="18" xfId="0" applyFont="1" applyFill="1" applyBorder="1" applyAlignment="1" applyProtection="1">
      <alignment horizontal="center" vertical="top" wrapText="1"/>
      <protection locked="0"/>
    </xf>
    <xf numFmtId="0" fontId="6" fillId="35" borderId="23" xfId="0" applyFont="1" applyFill="1" applyBorder="1" applyAlignment="1" applyProtection="1">
      <alignment horizontal="center" vertical="top" wrapText="1"/>
      <protection locked="0"/>
    </xf>
    <xf numFmtId="0" fontId="6" fillId="35" borderId="19" xfId="0" applyFont="1" applyFill="1" applyBorder="1" applyAlignment="1" applyProtection="1">
      <alignment horizontal="center" vertical="top" wrapText="1"/>
      <protection locked="0"/>
    </xf>
    <xf numFmtId="0" fontId="6" fillId="39" borderId="43" xfId="61" applyFont="1" applyFill="1" applyBorder="1" applyAlignment="1" applyProtection="1">
      <alignment horizontal="left" vertical="top"/>
      <protection/>
    </xf>
    <xf numFmtId="0" fontId="6" fillId="39" borderId="14" xfId="61" applyFont="1" applyFill="1" applyBorder="1" applyAlignment="1" applyProtection="1">
      <alignment horizontal="left" vertical="top"/>
      <protection/>
    </xf>
    <xf numFmtId="0" fontId="6" fillId="39" borderId="45" xfId="61" applyFont="1" applyFill="1" applyBorder="1" applyAlignment="1" applyProtection="1">
      <alignment horizontal="left" vertical="top"/>
      <protection/>
    </xf>
    <xf numFmtId="0" fontId="6" fillId="39" borderId="78" xfId="61" applyFont="1" applyFill="1" applyBorder="1" applyAlignment="1" applyProtection="1">
      <alignment horizontal="left" vertical="top"/>
      <protection/>
    </xf>
    <xf numFmtId="0" fontId="10" fillId="39" borderId="69" xfId="62" applyFont="1" applyFill="1" applyBorder="1" applyAlignment="1">
      <alignment horizontal="center" vertical="top"/>
      <protection/>
    </xf>
    <xf numFmtId="0" fontId="10" fillId="39" borderId="70" xfId="62" applyFont="1" applyFill="1" applyBorder="1" applyAlignment="1">
      <alignment horizontal="center" vertical="top"/>
      <protection/>
    </xf>
    <xf numFmtId="0" fontId="10" fillId="39" borderId="71" xfId="62" applyFont="1" applyFill="1" applyBorder="1" applyAlignment="1">
      <alignment horizontal="center" vertical="top"/>
      <protection/>
    </xf>
    <xf numFmtId="0" fontId="10" fillId="39" borderId="31" xfId="0" applyFont="1" applyFill="1" applyBorder="1" applyAlignment="1">
      <alignment horizontal="center" vertical="top"/>
    </xf>
    <xf numFmtId="0" fontId="10" fillId="39" borderId="33" xfId="0" applyFont="1" applyFill="1" applyBorder="1" applyAlignment="1">
      <alignment horizontal="center" vertical="top"/>
    </xf>
    <xf numFmtId="0" fontId="10" fillId="39" borderId="27" xfId="0" applyFont="1" applyFill="1" applyBorder="1" applyAlignment="1">
      <alignment horizontal="center" vertical="top"/>
    </xf>
    <xf numFmtId="0" fontId="10" fillId="39" borderId="31" xfId="61" applyFont="1" applyFill="1" applyBorder="1" applyAlignment="1" applyProtection="1">
      <alignment horizontal="left" vertical="top"/>
      <protection/>
    </xf>
    <xf numFmtId="0" fontId="10" fillId="39" borderId="33" xfId="61" applyFont="1" applyFill="1" applyBorder="1" applyAlignment="1" applyProtection="1">
      <alignment horizontal="left" vertical="top"/>
      <protection/>
    </xf>
    <xf numFmtId="0" fontId="6" fillId="39" borderId="115" xfId="61" applyFont="1" applyFill="1" applyBorder="1" applyAlignment="1" applyProtection="1">
      <alignment horizontal="left" vertical="top"/>
      <protection/>
    </xf>
    <xf numFmtId="0" fontId="6" fillId="39" borderId="62" xfId="61" applyFont="1" applyFill="1" applyBorder="1" applyAlignment="1" applyProtection="1">
      <alignment horizontal="left" vertical="top"/>
      <protection/>
    </xf>
    <xf numFmtId="0" fontId="6" fillId="35" borderId="74" xfId="0" applyFont="1" applyFill="1" applyBorder="1" applyAlignment="1" applyProtection="1">
      <alignment horizontal="center" vertical="top"/>
      <protection locked="0"/>
    </xf>
    <xf numFmtId="0" fontId="6" fillId="35" borderId="14" xfId="62" applyFont="1" applyFill="1" applyBorder="1" applyAlignment="1" applyProtection="1">
      <alignment horizontal="center" vertical="top"/>
      <protection locked="0"/>
    </xf>
    <xf numFmtId="0" fontId="10" fillId="39" borderId="31" xfId="0" applyFont="1" applyFill="1" applyBorder="1" applyAlignment="1" applyProtection="1">
      <alignment horizontal="center" vertical="top"/>
      <protection/>
    </xf>
    <xf numFmtId="0" fontId="10" fillId="39" borderId="32" xfId="0" applyFont="1" applyFill="1" applyBorder="1" applyAlignment="1" applyProtection="1">
      <alignment horizontal="center" vertical="top"/>
      <protection/>
    </xf>
    <xf numFmtId="0" fontId="10" fillId="39" borderId="25" xfId="62" applyFont="1" applyFill="1" applyBorder="1" applyAlignment="1" applyProtection="1">
      <alignment horizontal="center" vertical="top"/>
      <protection/>
    </xf>
    <xf numFmtId="0" fontId="10" fillId="39" borderId="25" xfId="0" applyFont="1" applyFill="1" applyBorder="1" applyAlignment="1" applyProtection="1">
      <alignment horizontal="center" vertical="top"/>
      <protection/>
    </xf>
    <xf numFmtId="0" fontId="6" fillId="39" borderId="45" xfId="62" applyFont="1" applyFill="1" applyBorder="1" applyAlignment="1">
      <alignment horizontal="center" vertical="top"/>
      <protection/>
    </xf>
    <xf numFmtId="0" fontId="6" fillId="39" borderId="78" xfId="62" applyFont="1" applyFill="1" applyBorder="1" applyAlignment="1">
      <alignment horizontal="center" vertical="top"/>
      <protection/>
    </xf>
    <xf numFmtId="0" fontId="6" fillId="39" borderId="17" xfId="0" applyFont="1" applyFill="1" applyBorder="1" applyAlignment="1">
      <alignment horizontal="left" vertical="top" wrapText="1"/>
    </xf>
    <xf numFmtId="0" fontId="6" fillId="39" borderId="11" xfId="0" applyFont="1" applyFill="1" applyBorder="1" applyAlignment="1">
      <alignment horizontal="left" vertical="top" wrapText="1"/>
    </xf>
    <xf numFmtId="0" fontId="10" fillId="39" borderId="31" xfId="62" applyFont="1" applyFill="1" applyBorder="1" applyAlignment="1" applyProtection="1">
      <alignment horizontal="center" vertical="top"/>
      <protection/>
    </xf>
    <xf numFmtId="0" fontId="10" fillId="39" borderId="33" xfId="62" applyFont="1" applyFill="1" applyBorder="1" applyAlignment="1" applyProtection="1">
      <alignment horizontal="center" vertical="top"/>
      <protection/>
    </xf>
    <xf numFmtId="0" fontId="6" fillId="39" borderId="38" xfId="0" applyFont="1" applyFill="1" applyBorder="1" applyAlignment="1">
      <alignment horizontal="left" vertical="top" wrapText="1"/>
    </xf>
    <xf numFmtId="0" fontId="6" fillId="39" borderId="81" xfId="0" applyFont="1" applyFill="1" applyBorder="1" applyAlignment="1">
      <alignment horizontal="left" vertical="top" wrapText="1"/>
    </xf>
    <xf numFmtId="0" fontId="6" fillId="39" borderId="46" xfId="0" applyFont="1" applyFill="1" applyBorder="1" applyAlignment="1">
      <alignment horizontal="left" vertical="top" wrapText="1"/>
    </xf>
    <xf numFmtId="0" fontId="6" fillId="39" borderId="34" xfId="0" applyFont="1" applyFill="1" applyBorder="1" applyAlignment="1">
      <alignment horizontal="left" vertical="top" wrapText="1"/>
    </xf>
    <xf numFmtId="0" fontId="6" fillId="35" borderId="115" xfId="61" applyNumberFormat="1" applyFont="1" applyFill="1" applyBorder="1" applyAlignment="1" applyProtection="1">
      <alignment horizontal="center" vertical="top"/>
      <protection locked="0"/>
    </xf>
    <xf numFmtId="0" fontId="6" fillId="35" borderId="63" xfId="61" applyNumberFormat="1" applyFont="1" applyFill="1" applyBorder="1" applyAlignment="1" applyProtection="1">
      <alignment horizontal="center" vertical="top"/>
      <protection locked="0"/>
    </xf>
    <xf numFmtId="0" fontId="6" fillId="35" borderId="115" xfId="61" applyFont="1" applyFill="1" applyBorder="1" applyAlignment="1" applyProtection="1">
      <alignment horizontal="center" vertical="top"/>
      <protection locked="0"/>
    </xf>
    <xf numFmtId="0" fontId="6" fillId="35" borderId="83" xfId="61" applyFont="1" applyFill="1" applyBorder="1" applyAlignment="1" applyProtection="1">
      <alignment horizontal="center" vertical="top"/>
      <protection locked="0"/>
    </xf>
    <xf numFmtId="0" fontId="6" fillId="35" borderId="63" xfId="61" applyFont="1" applyFill="1" applyBorder="1" applyAlignment="1" applyProtection="1">
      <alignment horizontal="center" vertical="top"/>
      <protection locked="0"/>
    </xf>
    <xf numFmtId="0" fontId="6" fillId="39" borderId="31" xfId="0" applyFont="1" applyFill="1" applyBorder="1" applyAlignment="1">
      <alignment horizontal="center" vertical="top"/>
    </xf>
    <xf numFmtId="0" fontId="6" fillId="39" borderId="32" xfId="0" applyFont="1" applyFill="1" applyBorder="1" applyAlignment="1">
      <alignment horizontal="center" vertical="top"/>
    </xf>
    <xf numFmtId="0" fontId="6" fillId="50" borderId="116" xfId="0" applyFont="1" applyFill="1" applyBorder="1" applyAlignment="1" applyProtection="1">
      <alignment horizontal="center" vertical="top"/>
      <protection/>
    </xf>
    <xf numFmtId="0" fontId="6" fillId="50" borderId="77" xfId="0" applyFont="1" applyFill="1" applyBorder="1" applyAlignment="1" applyProtection="1">
      <alignment horizontal="center" vertical="top"/>
      <protection/>
    </xf>
    <xf numFmtId="0" fontId="6" fillId="39" borderId="116" xfId="0" applyFont="1" applyFill="1" applyBorder="1" applyAlignment="1" applyProtection="1">
      <alignment horizontal="center" vertical="top"/>
      <protection/>
    </xf>
    <xf numFmtId="0" fontId="6" fillId="39" borderId="77" xfId="0" applyFont="1" applyFill="1" applyBorder="1" applyAlignment="1" applyProtection="1">
      <alignment horizontal="center" vertical="top"/>
      <protection/>
    </xf>
    <xf numFmtId="0" fontId="6" fillId="35" borderId="115" xfId="62" applyFont="1" applyFill="1" applyBorder="1" applyAlignment="1" applyProtection="1">
      <alignment horizontal="center" vertical="top"/>
      <protection locked="0"/>
    </xf>
    <xf numFmtId="12" fontId="6" fillId="39" borderId="45" xfId="62" applyNumberFormat="1" applyFont="1" applyFill="1" applyBorder="1" applyAlignment="1" applyProtection="1">
      <alignment horizontal="center" vertical="top"/>
      <protection/>
    </xf>
    <xf numFmtId="12" fontId="6" fillId="39" borderId="56" xfId="62" applyNumberFormat="1" applyFont="1" applyFill="1" applyBorder="1" applyAlignment="1" applyProtection="1">
      <alignment horizontal="center" vertical="top"/>
      <protection/>
    </xf>
    <xf numFmtId="12" fontId="6" fillId="39" borderId="118" xfId="62" applyNumberFormat="1" applyFont="1" applyFill="1" applyBorder="1" applyAlignment="1" applyProtection="1">
      <alignment horizontal="center" vertical="top"/>
      <protection/>
    </xf>
    <xf numFmtId="0" fontId="6" fillId="39" borderId="45" xfId="0" applyFont="1" applyFill="1" applyBorder="1" applyAlignment="1">
      <alignment horizontal="center" vertical="top"/>
    </xf>
    <xf numFmtId="0" fontId="6" fillId="39" borderId="56" xfId="0" applyFont="1" applyFill="1" applyBorder="1" applyAlignment="1">
      <alignment horizontal="center" vertical="top"/>
    </xf>
    <xf numFmtId="0" fontId="6" fillId="39" borderId="118" xfId="0" applyFont="1" applyFill="1" applyBorder="1" applyAlignment="1">
      <alignment horizontal="center" vertical="top"/>
    </xf>
    <xf numFmtId="0" fontId="6" fillId="35" borderId="56" xfId="0" applyFont="1" applyFill="1" applyBorder="1" applyAlignment="1" applyProtection="1">
      <alignment horizontal="center" vertical="top"/>
      <protection locked="0"/>
    </xf>
    <xf numFmtId="0" fontId="6" fillId="35" borderId="77" xfId="0" applyFont="1" applyFill="1" applyBorder="1" applyAlignment="1" applyProtection="1">
      <alignment horizontal="center" vertical="top"/>
      <protection locked="0"/>
    </xf>
    <xf numFmtId="0" fontId="6" fillId="39" borderId="119" xfId="0" applyFont="1" applyFill="1" applyBorder="1" applyAlignment="1" applyProtection="1">
      <alignment horizontal="center" vertical="top"/>
      <protection/>
    </xf>
    <xf numFmtId="0" fontId="6" fillId="39" borderId="44" xfId="0" applyFont="1" applyFill="1" applyBorder="1" applyAlignment="1" applyProtection="1">
      <alignment horizontal="center" vertical="top"/>
      <protection/>
    </xf>
    <xf numFmtId="0" fontId="6" fillId="39" borderId="43" xfId="62" applyFont="1" applyFill="1" applyBorder="1" applyAlignment="1" applyProtection="1">
      <alignment horizontal="center" vertical="top"/>
      <protection/>
    </xf>
    <xf numFmtId="0" fontId="6" fillId="39" borderId="20" xfId="62" applyFont="1" applyFill="1" applyBorder="1" applyAlignment="1" applyProtection="1">
      <alignment horizontal="center" vertical="top"/>
      <protection/>
    </xf>
    <xf numFmtId="0" fontId="6" fillId="39" borderId="120" xfId="62" applyFont="1" applyFill="1" applyBorder="1" applyAlignment="1" applyProtection="1">
      <alignment horizontal="center" vertical="top"/>
      <protection/>
    </xf>
    <xf numFmtId="0" fontId="10" fillId="39" borderId="115" xfId="0" applyNumberFormat="1" applyFont="1" applyFill="1" applyBorder="1" applyAlignment="1" applyProtection="1">
      <alignment horizontal="center" vertical="top"/>
      <protection/>
    </xf>
    <xf numFmtId="0" fontId="10" fillId="39" borderId="83" xfId="0" applyNumberFormat="1" applyFont="1" applyFill="1" applyBorder="1" applyAlignment="1" applyProtection="1">
      <alignment horizontal="center" vertical="top"/>
      <protection/>
    </xf>
    <xf numFmtId="0" fontId="10" fillId="39" borderId="63" xfId="0" applyNumberFormat="1" applyFont="1" applyFill="1" applyBorder="1" applyAlignment="1" applyProtection="1">
      <alignment horizontal="center" vertical="top"/>
      <protection/>
    </xf>
    <xf numFmtId="1" fontId="6" fillId="39" borderId="94" xfId="62" applyNumberFormat="1" applyFont="1" applyFill="1" applyBorder="1" applyAlignment="1" applyProtection="1">
      <alignment horizontal="center" vertical="top"/>
      <protection locked="0"/>
    </xf>
    <xf numFmtId="1" fontId="6" fillId="39" borderId="56" xfId="62" applyNumberFormat="1" applyFont="1" applyFill="1" applyBorder="1" applyAlignment="1" applyProtection="1">
      <alignment horizontal="center" vertical="top"/>
      <protection locked="0"/>
    </xf>
    <xf numFmtId="1" fontId="6" fillId="39" borderId="77" xfId="62" applyNumberFormat="1" applyFont="1" applyFill="1" applyBorder="1" applyAlignment="1" applyProtection="1">
      <alignment horizontal="center" vertical="top"/>
      <protection locked="0"/>
    </xf>
    <xf numFmtId="0" fontId="21" fillId="39" borderId="94" xfId="56" applyNumberFormat="1" applyFont="1" applyFill="1" applyBorder="1" applyAlignment="1" applyProtection="1">
      <alignment horizontal="center" vertical="top"/>
      <protection/>
    </xf>
    <xf numFmtId="0" fontId="21" fillId="39" borderId="56" xfId="56" applyNumberFormat="1" applyFont="1" applyFill="1" applyBorder="1" applyAlignment="1" applyProtection="1">
      <alignment horizontal="center" vertical="top"/>
      <protection/>
    </xf>
    <xf numFmtId="0" fontId="21" fillId="39" borderId="77" xfId="56" applyNumberFormat="1" applyFont="1" applyFill="1" applyBorder="1" applyAlignment="1" applyProtection="1">
      <alignment horizontal="center" vertical="top"/>
      <protection/>
    </xf>
    <xf numFmtId="0" fontId="10" fillId="39" borderId="121" xfId="0" applyFont="1" applyFill="1" applyBorder="1" applyAlignment="1">
      <alignment horizontal="center" vertical="top"/>
    </xf>
    <xf numFmtId="0" fontId="6" fillId="39" borderId="94" xfId="62" applyFont="1" applyFill="1" applyBorder="1" applyAlignment="1" applyProtection="1">
      <alignment horizontal="center" vertical="top"/>
      <protection/>
    </xf>
    <xf numFmtId="0" fontId="6" fillId="39" borderId="77" xfId="62" applyFont="1" applyFill="1" applyBorder="1" applyAlignment="1" applyProtection="1">
      <alignment horizontal="center" vertical="top"/>
      <protection/>
    </xf>
    <xf numFmtId="0" fontId="6" fillId="39" borderId="43" xfId="61" applyFont="1" applyFill="1" applyBorder="1" applyAlignment="1">
      <alignment horizontal="center" vertical="top"/>
      <protection/>
    </xf>
    <xf numFmtId="0" fontId="6" fillId="39" borderId="44" xfId="61" applyFont="1" applyFill="1" applyBorder="1" applyAlignment="1">
      <alignment horizontal="center" vertical="top"/>
      <protection/>
    </xf>
    <xf numFmtId="0" fontId="10" fillId="39" borderId="27" xfId="62" applyFont="1" applyFill="1" applyBorder="1" applyAlignment="1" applyProtection="1">
      <alignment horizontal="center" vertical="top"/>
      <protection/>
    </xf>
    <xf numFmtId="0" fontId="6" fillId="39" borderId="31" xfId="0" applyFont="1" applyFill="1" applyBorder="1" applyAlignment="1" quotePrefix="1">
      <alignment horizontal="center" vertical="top"/>
    </xf>
    <xf numFmtId="0" fontId="6" fillId="39" borderId="32" xfId="0" applyFont="1" applyFill="1" applyBorder="1" applyAlignment="1" quotePrefix="1">
      <alignment horizontal="center" vertical="top"/>
    </xf>
    <xf numFmtId="0" fontId="6" fillId="39" borderId="115" xfId="62" applyFont="1" applyFill="1" applyBorder="1" applyAlignment="1">
      <alignment horizontal="center" vertical="top"/>
      <protection/>
    </xf>
    <xf numFmtId="0" fontId="6" fillId="39" borderId="83" xfId="62" applyFont="1" applyFill="1" applyBorder="1" applyAlignment="1">
      <alignment horizontal="center" vertical="top"/>
      <protection/>
    </xf>
    <xf numFmtId="0" fontId="6" fillId="39" borderId="122" xfId="62" applyFont="1" applyFill="1" applyBorder="1" applyAlignment="1">
      <alignment horizontal="center" vertical="top"/>
      <protection/>
    </xf>
    <xf numFmtId="0" fontId="10" fillId="39" borderId="31" xfId="0" applyFont="1" applyFill="1" applyBorder="1" applyAlignment="1">
      <alignment horizontal="center" vertical="top"/>
    </xf>
    <xf numFmtId="0" fontId="10" fillId="39" borderId="33" xfId="0" applyFont="1" applyFill="1" applyBorder="1" applyAlignment="1">
      <alignment horizontal="center" vertical="top"/>
    </xf>
    <xf numFmtId="0" fontId="10" fillId="39" borderId="27" xfId="0" applyFont="1" applyFill="1" applyBorder="1" applyAlignment="1">
      <alignment horizontal="center" vertical="top"/>
    </xf>
    <xf numFmtId="0" fontId="6" fillId="39" borderId="20" xfId="61" applyFont="1" applyFill="1" applyBorder="1" applyAlignment="1">
      <alignment horizontal="center" vertical="top"/>
      <protection/>
    </xf>
    <xf numFmtId="0" fontId="48" fillId="40" borderId="123" xfId="0" applyFont="1" applyFill="1" applyBorder="1" applyAlignment="1" quotePrefix="1">
      <alignment horizontal="center" vertical="center" wrapText="1"/>
    </xf>
    <xf numFmtId="0" fontId="0" fillId="40" borderId="124" xfId="0" applyFill="1" applyBorder="1" applyAlignment="1">
      <alignment horizontal="center" vertical="center"/>
    </xf>
    <xf numFmtId="0" fontId="0" fillId="40" borderId="125" xfId="0"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PTCHK" xfId="55"/>
    <cellStyle name="Normal_AKSURF" xfId="56"/>
    <cellStyle name="Normal_CONCPVMT_VER12_20060927" xfId="57"/>
    <cellStyle name="Normal_GRAD" xfId="58"/>
    <cellStyle name="Normal_MIX" xfId="59"/>
    <cellStyle name="Normal_SURFACE" xfId="60"/>
    <cellStyle name="Normal_TSR" xfId="61"/>
    <cellStyle name="Normal_WRKSHEET.XLS_1" xfId="62"/>
    <cellStyle name="Note" xfId="63"/>
    <cellStyle name="Output" xfId="64"/>
    <cellStyle name="Percent" xfId="65"/>
    <cellStyle name="Title" xfId="66"/>
    <cellStyle name="Total" xfId="67"/>
    <cellStyle name="Warning Text" xfId="68"/>
  </cellStyles>
  <dxfs count="11">
    <dxf>
      <font>
        <b/>
        <i val="0"/>
        <color indexed="10"/>
      </font>
    </dxf>
    <dxf>
      <font>
        <strike val="0"/>
        <color rgb="FFFF0000"/>
      </font>
    </dxf>
    <dxf>
      <font>
        <color indexed="10"/>
      </font>
    </dxf>
    <dxf>
      <font>
        <color indexed="10"/>
      </font>
    </dxf>
    <dxf>
      <font>
        <strike val="0"/>
        <color rgb="FFFF0000"/>
      </font>
    </dxf>
    <dxf>
      <font>
        <color indexed="10"/>
      </font>
    </dxf>
    <dxf>
      <font>
        <strike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1" Namespace="http://tempuri.org/XMLSchema.xsd">
    <xsd:schema xmlns:xsd="http://www.w3.org/2001/XMLSchema" xmlns="http://tempuri.org/XMLSchema.xsd" targetNamespace="http://tempuri.org/XMLSchema.xsd" elementFormDefault="qualified">
      <xsd:element name="MaterialDisciplines" type="MaterialDisciplinesType"/>
      <xsd:complexType name="MaterialDisciplinesType">
        <xsd:all>
          <xsd:element name="discipline" type="disciplineType" minOccurs="1"/>
          <xsd:element name="t_smpl" type="t_smplType" minOccurs="1"/>
          <xsd:element name="t_cont_smpl" type="t_cont_smplType" minOccurs="1"/>
          <xsd:element name="t_cont_smpl_itm" type="t_cont_smpl_itmType" minOccurs="1"/>
          <xsd:element name="t_rmrks_dtl" type="t_rmrks_dtlType" minOccurs="1"/>
          <xsd:element name="t_smpl_tst" type="t_smpl_tstType" minOccurs="1"/>
          <xsd:element name="t_smpl_tstr" type="t_smpl_tstrType" minOccurs="1"/>
          <xsd:element name="t_tst_rslt_hdr" type="t_tst_rslt_hdrType" minOccurs="1"/>
          <xsd:element name="t_tst_rslt_dtl" type="t_tst_rslt_dtlType" minOccurs="1"/>
          <xsd:element name="t_pcc" type="t_pccType" minOccurs="1"/>
          <xsd:element name="t_pcc_blnd" type="t_pcc_blndType" minOccurs="1"/>
          <xsd:element name="t_mix_dsn_grdn" type="t_mix_dsn_grdnType" minOccurs="1"/>
          <xsd:element name="t_superpave" type="t_superpaveType" minOccurs="1"/>
          <xsd:element name="t_bit_conc_mixblnd" type="t_bit_conc_mixblndType" minOccurs="1"/>
        </xsd:all>
      </xsd:complexType>
      <xsd:complexType name="disciplineType">
        <xsd:sequence>
          <xsd:element name="disciplineTable" minOccurs="1" maxOccurs="unbounded">
            <xsd:complexType>
              <xsd:sequence>
                <xsd:element name="discipline_id" type="xsd:string" minOccurs="1" nillable="false" form="qualified"/>
                <xsd:element name="discipline_version" type="xsd:string" minOccurs="1" nillable="false" form="qualified"/>
                <xsd:element name="replace_allowed_indicator" type="xsd:string" minOccurs="1" nillable="false" form="qualified"/>
                <xsd:element name="district" type="xsd:string" minOccurs="1" nillable="false" form="qualified"/>
                <xsd:element name="Filename" type="xsd:string" minOccurs="1" nillable="false" form="qualified"/>
              </xsd:sequence>
            </xsd:complexType>
          </xsd:element>
        </xsd:sequence>
      </xsd:complexType>
      <xsd:complexType name="t_smplType">
        <xsd:sequence>
          <xsd:element name="t_smplTable" minOccurs="1" maxOccurs="unbounded">
            <xsd:complexType>
              <xsd:sequence>
                <xsd:element name="smpl_id" type="xsd:string" minOccurs="1" nillable="false" form="qualified"/>
                <xsd:element name="acpt_meth_t" type="xsd:string" minOccurs="1" nillable="false" form="qualified"/>
                <xsd:element name="auth_by_cms_uid" type="xsd:string" minOccurs="1" nillable="false" form="qualified"/>
                <xsd:element name="auth_dt" type="xsd:string" minOccurs="1" nillable="false" form="qualified"/>
                <xsd:element name="cms_uid" type="xsd:string" minOccurs="1" nillable="false" form="qualified"/>
                <xsd:element name="cntrl_nbr" type="xsd:string" minOccurs="1" nillable="false" form="qualified"/>
                <xsd:element name="cntrl_t" type="xsd:string" minOccurs="1" nillable="false" form="qualified"/>
                <xsd:element name="geog_area_t" type="xsd:string" minOccurs="1" nillable="false" form="qualified"/>
                <xsd:element name="intd_use_txt" type="xsd:string" minOccurs="1" nillable="false" form="qualified"/>
                <xsd:element name="last_modfd_dt" type="xsd:string" minOccurs="1" nillable="false" form="qualified"/>
                <xsd:element name="last_modfd_uid" type="xsd:string" minOccurs="1" nillable="false" form="qualified"/>
                <xsd:element name="log_dt" type="xsd:string" minOccurs="1" nillable="false" form="qualified"/>
                <xsd:element name="matl_cd" type="xsd:string" minOccurs="1" nillable="false" form="qualified"/>
                <xsd:element name="offst" type="xsd:string" minOccurs="1" nillable="false" form="qualified"/>
                <xsd:element name="plant_id" type="xsd:string" minOccurs="1" nillable="false" form="qualified"/>
                <xsd:element name="prodr_supp_cd" type="xsd:string" minOccurs="1" nillable="false" form="qualified"/>
                <xsd:element name="rel_smpl_id" type="xsd:string" minOccurs="1" nillable="false" form="qualified"/>
                <xsd:element name="rmrks_id" type="xsd:string" minOccurs="1" nillable="false" form="qualified"/>
                <xsd:element name="smpl_dsn_t" type="xsd:string" minOccurs="1" nillable="false" form="qualified"/>
                <xsd:element name="smpl_dt" type="xsd:string" minOccurs="1" nillable="false" form="qualified"/>
                <xsd:element name="smpl_mix_id" type="xsd:string" minOccurs="1" nillable="false" form="qualified"/>
                <xsd:element name="smpl_t" type="xsd:string" minOccurs="1" nillable="false" form="qualified"/>
                <xsd:element name="smpld_by" type="xsd:string" minOccurs="1" nillable="false" form="qualified"/>
                <xsd:element name="sta" type="xsd:string" minOccurs="1" nillable="false" form="qualified"/>
                <xsd:element name="stat_t" type="xsd:string" minOccurs="1" nillable="false" form="qualified"/>
                <xsd:element name="witnes_by_cms_uid" type="xsd:string" minOccurs="1" nillable="false" form="qualified"/>
                <xsd:element name="prod_nm" type="xsd:string" minOccurs="1" nillable="false" form="qualified"/>
                <xsd:element name="plant_t" type="xsd:string" minOccurs="1" nillable="false" form="qualified"/>
                <xsd:element name="revise_smpl_id" type="xsd:string" minOccurs="1" nillable="false" form="qualified"/>
                <xsd:element name="smpl_origin" type="xsd:string" minOccurs="1" nillable="false" form="qualified"/>
                <xsd:element name="smpld_fr_txt" type="xsd:string" minOccurs="1" nillable="false" form="qualified"/>
                <xsd:element name="unt_t" type="xsd:string" minOccurs="1" nillable="false" form="qualified"/>
                <xsd:element name="mnfctr_cd" type="xsd:string" minOccurs="1" nillable="false" form="qualified"/>
                <xsd:element name="twn" type="xsd:string" minOccurs="1" nillable="false" form="qualified"/>
                <xsd:element name="buy_usa_ind" type="xsd:string" minOccurs="1" nillable="false" form="qualified"/>
                <xsd:element name="buy_usa_rqrdmt_t" type="xsd:string" minOccurs="1" nillable="false" form="qualified"/>
                <xsd:element name="repr_qty" type="xsd:string" minOccurs="1" nillable="false" form="qualified"/>
                <xsd:element name="ref" type="xsd:string" minOccurs="1" nillable="false" form="qualified"/>
                <xsd:element name="seal_nbr" type="xsd:string" minOccurs="1" nillable="false" form="qualified"/>
                <xsd:element name="smpl_sz" type="xsd:string" minOccurs="1" nillable="false" form="qualified"/>
                <xsd:element name="reqst_by_nm" type="xsd:string" minOccurs="1" nillable="false" form="qualified"/>
                <xsd:element name="std_rmrks_ind" type="xsd:string" minOccurs="1" nillable="false" form="qualified"/>
                <xsd:element name="smpl_lock_ind" type="xsd:string" minOccurs="1" nillable="false" form="qualified"/>
                <xsd:element name="dstnc_fnsh_grd" type="xsd:string" minOccurs="1" nillable="false" form="qualified"/>
                <xsd:element name="dstnc_fnsh_grd_unt" type="xsd:string" minOccurs="1" nillable="false" form="qualified"/>
                <xsd:element name="ref_doc" type="xsd:string" minOccurs="1" nillable="false" form="qualified"/>
                <xsd:element name="sz_unt_t" type="xsd:string" minOccurs="1" nillable="false" form="qualified"/>
                <xsd:element name="lock_type" type="xsd:string" minOccurs="1" nillable="false" form="qualified"/>
                <xsd:element name="locked_by" type="xsd:string" minOccurs="1" nillable="false" form="qualified"/>
                <xsd:element name="lock_dt" type="xsd:string" minOccurs="1" nillable="false" form="qualified"/>
                <xsd:element name="lev1_office_ind" type="xsd:string" minOccurs="1" nillable="false" form="qualified"/>
                <xsd:element name="lev2_office_nbr" type="xsd:string" minOccurs="1" nillable="false" form="qualified"/>
                <xsd:element name="lev3_office_nbr" type="xsd:string" minOccurs="1" nillable="false" form="qualified"/>
                <xsd:element name="lev4_office_nbr" type="xsd:string" minOccurs="1" nillable="false" form="qualified"/>
              </xsd:sequence>
            </xsd:complexType>
          </xsd:element>
        </xsd:sequence>
      </xsd:complexType>
      <xsd:complexType name="t_cont_smplType">
        <xsd:sequence>
          <xsd:element name="t_cont_smplTable" minOccurs="1" maxOccurs="unbounded">
            <xsd:complexType>
              <xsd:sequence>
                <xsd:element name="smpl_id" type="xsd:string" minOccurs="1" nillable="false" form="qualified"/>
                <xsd:element name="cont_id" type="xsd:string" minOccurs="1" nillable="false" form="qualified"/>
                <xsd:element name="prj_nbr" type="xsd:string" minOccurs="1" nillable="false" form="qualified"/>
                <xsd:element name="ln_itm_nbr" type="xsd:string" minOccurs="1" nillable="false" form="qualified"/>
                <xsd:element name="repr_qty"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cont_smpl_itmType">
        <xsd:sequence>
          <xsd:element name="t_cont_smpl_itmTable" minOccurs="1" maxOccurs="unbounded">
            <xsd:complexType>
              <xsd:sequence>
                <xsd:element name="prj_nbr" type="xsd:string" minOccurs="1" nillable="false" form="qualified"/>
                <xsd:element name="ln_itm_nbr" type="xsd:string" minOccurs="1" nillable="false" form="qualified"/>
                <xsd:element name="repr_qty" type="xsd:string" minOccurs="1" nillable="false" form="qualified"/>
              </xsd:sequence>
            </xsd:complexType>
          </xsd:element>
        </xsd:sequence>
      </xsd:complexType>
      <xsd:complexType name="t_rmrks_dtlType">
        <xsd:sequence>
          <xsd:element name="t_rmrks_dtlTable" minOccurs="1" maxOccurs="unbounded">
            <xsd:complexType>
              <xsd:sequence>
                <xsd:element name="rmrks_id" type="xsd:string" minOccurs="1" nillable="false" form="qualified"/>
                <xsd:element name="rmrks_t" type="xsd:string" minOccurs="1" nillable="false" form="qualified"/>
                <xsd:element name="rmrks_sn" type="xsd:string" minOccurs="1" nillable="false" form="qualified"/>
                <xsd:element name="rmrks_txt_fl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mpl_tstType">
        <xsd:sequence>
          <xsd:element name="t_smpl_tst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lab_id" type="xsd:string" minOccurs="1" nillable="false" form="qualified"/>
                <xsd:element name="chrg_amt" type="xsd:string" minOccurs="1" nillable="false" form="qualified"/>
                <xsd:element name="strt_dt" type="xsd:string" minOccurs="1" nillable="false" form="qualified"/>
                <xsd:element name="est_cmpl_dt" type="xsd:string" minOccurs="1" nillable="false" form="qualified"/>
                <xsd:element name="actl_cmpl_dt"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mpl_tstrType">
        <xsd:sequence>
          <xsd:element name="t_smpl_tstr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tst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tst_rslt_hdrType">
        <xsd:sequence>
          <xsd:element name="t_tst_rslt_hdr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rmrks_id" type="xsd:string" minOccurs="1" nillable="false" form="qualified"/>
                <xsd:element name="effdt" type="xsd:string" minOccurs="1" nillable="false" form="qualified"/>
                <xsd:element name="last_modfd_dt" type="xsd:string" minOccurs="1" nillable="false" form="qualified"/>
                <xsd:element name="last_modfd_uid" type="xsd:string" minOccurs="1" nillable="false" form="qualified"/>
              </xsd:sequence>
            </xsd:complexType>
          </xsd:element>
        </xsd:sequence>
      </xsd:complexType>
      <xsd:complexType name="t_tst_rslt_dtlType">
        <xsd:sequence>
          <xsd:element name="t_tst_rslt_dtl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tst_fld_sn" type="xsd:string" minOccurs="1" nillable="false" form="qualified"/>
                <xsd:element name="tst_strg_fld_val" type="xsd:string" minOccurs="1" nillable="false" form="qualified"/>
                <xsd:element name="tst_numrc_fld_val"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pccType">
        <xsd:sequence>
          <xsd:element name="t_pccTable" minOccurs="1" maxOccurs="unbounded">
            <xsd:complexType>
              <xsd:sequence>
                <xsd:element name="mix_id" type="xsd:string" minOccurs="1" nillable="false" form="qualified"/>
                <xsd:element name="matl_cd" type="xsd:string" minOccurs="1" nillable="false" form="qualified"/>
                <xsd:element name="dsn_t" type="xsd:string" minOccurs="1" nillable="false" form="qualified"/>
                <xsd:element name="prodr_supp_cd" type="xsd:string" minOccurs="1" nillable="false" form="qualified"/>
                <xsd:element name="dsnr_nm" type="xsd:string" minOccurs="1" nillable="false" form="qualified"/>
                <xsd:element name="conc_clas_t" type="xsd:string" minOccurs="1" nillable="false" form="qualified"/>
                <xsd:element name="effdt" type="xsd:string" minOccurs="1" nillable="false" form="qualified"/>
                <xsd:element name="term_dt" type="xsd:string" minOccurs="1" nillable="false" form="qualified"/>
                <xsd:element name="apprd_dt" type="xsd:string" minOccurs="1" nillable="false" form="qualified"/>
                <xsd:element name="apprd_by_uid" type="xsd:string" minOccurs="1" nillable="false" form="qualified"/>
                <xsd:element name="min_avg_strgh_rqrd" type="xsd:string" minOccurs="1" nillable="false" form="qualified"/>
                <xsd:element name="dsn_strgh_spc" type="xsd:string" minOccurs="1" nillable="false" form="qualified"/>
                <xsd:element name="theo_unt_wt" type="xsd:string" minOccurs="1" nillable="false" form="qualified"/>
                <xsd:element name="theo_unt_wt_unt" type="xsd:string" minOccurs="1" nillable="false" form="qualified"/>
                <xsd:element name="h2o_cem_ratio" type="xsd:string" minOccurs="1" nillable="false" form="qualified"/>
                <xsd:element name="unt_wt_m" type="xsd:string" minOccurs="1" nillable="false" form="qualified"/>
                <xsd:element name="unt_wt_meas_unt" type="xsd:string" minOccurs="1" nillable="false" form="qualified"/>
                <xsd:element name="air_cntnt_m" type="xsd:string" minOccurs="1" nillable="false" form="qualified"/>
                <xsd:element name="slmp_m" type="xsd:string" minOccurs="1" nillable="false" form="qualified"/>
                <xsd:element name="slmp_meas_unt" type="xsd:string" minOccurs="1" nillable="false" form="qualified"/>
                <xsd:element name="rmrks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pcc_blndType">
        <xsd:sequence>
          <xsd:element name="t_pcc_blndTable" minOccurs="1" maxOccurs="unbounded">
            <xsd:complexType>
              <xsd:sequence>
                <xsd:element name="matl_cd" type="xsd:string" minOccurs="1" nillable="false" form="qualified"/>
                <xsd:element name="mix_id" type="xsd:string" minOccurs="1" nillable="false" form="qualified"/>
                <xsd:element name="dsn_t" type="xsd:string" minOccurs="1" nillable="false" form="qualified"/>
                <xsd:element name="prodr_supp_cd" type="xsd:string" minOccurs="1" nillable="false" form="qualified"/>
                <xsd:element name="smpl_id" type="xsd:string" minOccurs="1" nillable="false" form="qualified"/>
                <xsd:element name="brnd_nm" type="xsd:string" minOccurs="1" nillable="false" form="qualified"/>
                <xsd:element name="spc_gr" type="xsd:string" minOccurs="1" nillable="false" form="qualified"/>
                <xsd:element name="bulk_spc_gr_m" type="xsd:string" minOccurs="1" nillable="false" form="qualified"/>
                <xsd:element name="ssd_wt_m" type="xsd:string" minOccurs="1" nillable="false" form="qualified"/>
                <xsd:element name="abs_p" type="xsd:string" minOccurs="1" nillable="false" form="qualified"/>
                <xsd:element name="fine_moduls_m" type="xsd:string" minOccurs="1" nillable="false" form="qualified"/>
                <xsd:element name="mas" type="xsd:string" minOccurs="1" nillable="false" form="qualified"/>
                <xsd:element name="unt_t"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mix_dsn_grdnType">
        <xsd:sequence>
          <xsd:element name="t_mix_dsn_grdnTable" minOccurs="1" maxOccurs="unbounded">
            <xsd:complexType>
              <xsd:sequence>
                <xsd:element name="matl_cd" type="xsd:string" minOccurs="1" nillable="false" form="qualified"/>
                <xsd:element name="matl_grdn_effdt" type="xsd:string" minOccurs="1" nillable="false" form="qualified"/>
                <xsd:element name="matl_grdn_sn" type="xsd:string" minOccurs="1" nillable="false" form="qualified"/>
                <xsd:element name="mix_id" type="xsd:string" minOccurs="1" nillable="false" form="qualified"/>
                <xsd:element name="dsn_t" type="xsd:string" minOccurs="1" nillable="false" form="qualified"/>
                <xsd:element name="sv_val" type="xsd:string" minOccurs="1" nillable="false" form="qualified"/>
                <xsd:element name="min_prod_tolrnc" type="xsd:string" minOccurs="1" nillable="false" form="qualified"/>
                <xsd:element name="max_prod_tolrnc"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uperpaveType">
        <xsd:sequence>
          <xsd:element name="t_superpaveTable" minOccurs="1" maxOccurs="unbounded">
            <xsd:complexType>
              <xsd:sequence>
                <xsd:element name="mix_id" type="xsd:string" minOccurs="1" nillable="false" form="qualified"/>
                <xsd:element name="dsn_t" type="xsd:string" minOccurs="1" nillable="false" form="qualified"/>
                <xsd:element name="matl_cd" type="xsd:string" minOccurs="1" nillable="false" form="qualified"/>
                <xsd:element name="prodr_supp_cd" type="xsd:string" minOccurs="1" nillable="false" form="qualified"/>
                <xsd:element name="dsnr_nm" type="xsd:string" minOccurs="1" nillable="false" form="qualified"/>
                <xsd:element name="asph_cem_t" type="xsd:string" minOccurs="1" nillable="false" form="qualified"/>
                <xsd:element name="mix_dsn_txt_t" type="xsd:string" minOccurs="1" nillable="false" form="qualified"/>
                <xsd:element name="effdt" type="xsd:string" minOccurs="1" nillable="false" form="qualified"/>
                <xsd:element name="term_dt" type="xsd:string" minOccurs="1" nillable="false" form="qualified"/>
                <xsd:element name="apprd_dt" type="xsd:string" minOccurs="1" nillable="false" form="qualified"/>
                <xsd:element name="apprd_by_uid" type="xsd:string" minOccurs="1" nillable="false" form="qualified"/>
                <xsd:element name="init_n_dnsty_m" type="xsd:string" minOccurs="1" nillable="false" form="qualified"/>
                <xsd:element name="max_n_dnsty_m" type="xsd:string" minOccurs="1" nillable="false" form="qualified"/>
                <xsd:element name="dsn_n_dnsty_m" type="xsd:string" minOccurs="1" nillable="false" form="qualified"/>
                <xsd:element name="init_n_gmm_p" type="xsd:string" minOccurs="1" nillable="false" form="qualified"/>
                <xsd:element name="max_n_gmm_p" type="xsd:string" minOccurs="1" nillable="false" form="qualified"/>
                <xsd:element name="esals_nbr" type="xsd:string" minOccurs="1" nillable="false" form="qualified"/>
                <xsd:element name="opt_ac_pct_tot_wt" type="xsd:string" minOccurs="1" nillable="false" form="qualified"/>
                <xsd:element name="dust_proprtn_p" type="xsd:string" minOccurs="1" nillable="false" form="qualified"/>
                <xsd:element name="vma_p" type="xsd:string" minOccurs="1" nillable="false" form="qualified"/>
                <xsd:element name="vfa_p" type="xsd:string" minOccurs="1" nillable="false" form="qualified"/>
                <xsd:element name="lotmn_tsr_m" type="xsd:string" minOccurs="1" nillable="false" form="qualified"/>
                <xsd:element name="sand_equiv_tst" type="xsd:string" minOccurs="1" nillable="false" form="qualified"/>
                <xsd:element name="max_spc_gr" type="xsd:string" minOccurs="1" nillable="false" form="qualified"/>
                <xsd:element name="bulk_spc_gr_m" type="xsd:string" minOccurs="1" nillable="false" form="qualified"/>
                <xsd:element name="mix_temp" type="xsd:string" minOccurs="1" nillable="false" form="qualified"/>
                <xsd:element name="mix_temp_unt" type="xsd:string" minOccurs="1" nillable="false" form="qualified"/>
                <xsd:element name="cmpct_temp" type="xsd:string" minOccurs="1" nillable="false" form="qualified"/>
                <xsd:element name="cmpct_temp_unt" type="xsd:string" minOccurs="1" nillable="false" form="qualified"/>
                <xsd:element name="high_air_temp" type="xsd:string" minOccurs="1" nillable="false" form="qualified"/>
                <xsd:element name="high_air_temp_unt" type="xsd:string" minOccurs="1" nillable="false" form="qualified"/>
                <xsd:element name="rmrks_id" type="xsd:string" minOccurs="1" nillable="false" form="qualified"/>
                <xsd:element name="last_modfd_uid" type="xsd:string" minOccurs="1" nillable="false" form="qualified"/>
                <xsd:element name="last_modfd_dt" type="xsd:string" minOccurs="1" nillable="false" form="qualified"/>
                <xsd:element name="air_voids_p" type="xsd:string" minOccurs="1" nillable="false" form="qualified"/>
              </xsd:sequence>
            </xsd:complexType>
          </xsd:element>
        </xsd:sequence>
      </xsd:complexType>
      <xsd:complexType name="t_bit_conc_mixblndType">
        <xsd:sequence>
          <xsd:element name="t_bit_conc_mixblndTable" minOccurs="1" maxOccurs="unbounded">
            <xsd:complexType>
              <xsd:sequence>
                <xsd:element name="mix_id" type="xsd:string" minOccurs="1" nillable="false" form="qualified"/>
                <xsd:element name="dsn_t" type="xsd:string" minOccurs="1" nillable="false" form="qualified"/>
                <xsd:element name="matl_cd" type="xsd:string" minOccurs="1" nillable="false" form="qualified"/>
                <xsd:element name="prodr_supp_cd" type="xsd:string" minOccurs="1" nillable="false" form="qualified"/>
                <xsd:element name="brnd_nm" type="xsd:string" minOccurs="1" nillable="false" form="qualified"/>
                <xsd:element name="blnd_p" type="xsd:string" minOccurs="1" nillable="false" form="qualified"/>
                <xsd:element name="bulk_spc_gr_m" type="xsd:string" minOccurs="1" nillable="false" form="qualified"/>
                <xsd:element name="aprnt_spc_gr_m" type="xsd:string" minOccurs="1" nillable="false" form="qualified"/>
                <xsd:element name="smpl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schema>
  </Schema>
  <Map ID="3" Name="MaterialDisciplines_Map" RootElement="MaterialDisciplines"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xmlMaps" Target="xmlMaps.xml" /><Relationship Id="rId33"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 G</a:t>
            </a:r>
            <a:r>
              <a:rPr lang="en-US" cap="none" sz="1000" b="1" i="0" u="none" baseline="-25000">
                <a:solidFill>
                  <a:srgbClr val="000000"/>
                </a:solidFill>
              </a:rPr>
              <a:t>mm</a:t>
            </a:r>
            <a:r>
              <a:rPr lang="en-US" cap="none" sz="1000" b="1" i="0" u="none" baseline="0">
                <a:solidFill>
                  <a:srgbClr val="000000"/>
                </a:solidFill>
              </a:rPr>
              <a:t> @ N</a:t>
            </a:r>
            <a:r>
              <a:rPr lang="en-US" cap="none" sz="1000" b="1" i="0" u="none" baseline="-25000">
                <a:solidFill>
                  <a:srgbClr val="000000"/>
                </a:solidFill>
              </a:rPr>
              <a:t>initial</a:t>
            </a:r>
            <a:r>
              <a:rPr lang="en-US" cap="none" sz="1000" b="1" i="0" u="none" baseline="0">
                <a:solidFill>
                  <a:srgbClr val="000000"/>
                </a:solidFill>
              </a:rPr>
              <a:t> vs. % AC</a:t>
            </a:r>
          </a:p>
        </c:rich>
      </c:tx>
      <c:layout>
        <c:manualLayout>
          <c:xMode val="factor"/>
          <c:yMode val="factor"/>
          <c:x val="-0.027"/>
          <c:y val="0"/>
        </c:manualLayout>
      </c:layout>
      <c:spPr>
        <a:noFill/>
        <a:ln w="3175">
          <a:noFill/>
        </a:ln>
      </c:spPr>
    </c:title>
    <c:plotArea>
      <c:layout>
        <c:manualLayout>
          <c:xMode val="edge"/>
          <c:yMode val="edge"/>
          <c:x val="0.0545"/>
          <c:y val="0.09375"/>
          <c:w val="0.9385"/>
          <c:h val="0.892"/>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Graphs!$C$188:$C$189</c:f>
              <c:numCache/>
            </c:numRef>
          </c:xVal>
          <c:yVal>
            <c:numRef>
              <c:f>Graphs!$D$188:$D$189</c:f>
              <c:numCache/>
            </c:numRef>
          </c:yVal>
          <c:smooth val="0"/>
        </c:ser>
        <c:ser>
          <c:idx val="0"/>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000000"/>
                </a:solidFill>
              </a:ln>
            </c:spPr>
          </c:marker>
          <c:trendline>
            <c:spPr>
              <a:ln w="25400">
                <a:solidFill>
                  <a:srgbClr val="000000"/>
                </a:solidFill>
              </a:ln>
            </c:spPr>
            <c:trendlineType val="linear"/>
            <c:dispEq val="0"/>
            <c:dispRSqr val="0"/>
          </c:trendline>
          <c:xVal>
            <c:numRef>
              <c:f>'Design Data'!$A$86:$A$89</c:f>
              <c:numCache>
                <c:ptCount val="4"/>
              </c:numCache>
            </c:numRef>
          </c:xVal>
          <c:yVal>
            <c:numRef>
              <c:f>'Design Data'!$B$86:$B$89</c:f>
              <c:numCache>
                <c:ptCount val="4"/>
                <c:pt idx="0">
                  <c:v>0</c:v>
                </c:pt>
                <c:pt idx="1">
                  <c:v>0</c:v>
                </c:pt>
                <c:pt idx="2">
                  <c:v>0</c:v>
                </c:pt>
                <c:pt idx="3">
                  <c:v>0</c:v>
                </c:pt>
              </c:numCache>
            </c:numRef>
          </c:yVal>
          <c:smooth val="0"/>
        </c:ser>
        <c:ser>
          <c:idx val="2"/>
          <c:order val="2"/>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 Data'!$A$103:$A$104</c:f>
              <c:numCache>
                <c:ptCount val="2"/>
              </c:numCache>
            </c:numRef>
          </c:xVal>
          <c:yVal>
            <c:numRef>
              <c:f>'Design Data'!$B$103:$B$104</c:f>
              <c:numCache>
                <c:ptCount val="2"/>
                <c:pt idx="0">
                  <c:v>0</c:v>
                </c:pt>
                <c:pt idx="1">
                  <c:v>0</c:v>
                </c:pt>
              </c:numCache>
            </c:numRef>
          </c:yVal>
          <c:smooth val="0"/>
        </c:ser>
        <c:axId val="60012978"/>
        <c:axId val="3245891"/>
      </c:scatterChart>
      <c:valAx>
        <c:axId val="60012978"/>
        <c:scaling>
          <c:orientation val="minMax"/>
          <c:max val="5.5"/>
          <c:min val="4"/>
        </c:scaling>
        <c:axPos val="b"/>
        <c:title>
          <c:tx>
            <c:rich>
              <a:bodyPr vert="horz" rot="0" anchor="ctr"/>
              <a:lstStyle/>
              <a:p>
                <a:pPr algn="ctr">
                  <a:defRPr/>
                </a:pPr>
                <a:r>
                  <a:rPr lang="en-US" cap="none" sz="800" b="1" i="0" u="none" baseline="0">
                    <a:solidFill>
                      <a:srgbClr val="000000"/>
                    </a:solidFill>
                  </a:rPr>
                  <a:t>% AC</a:t>
                </a:r>
              </a:p>
            </c:rich>
          </c:tx>
          <c:layout>
            <c:manualLayout>
              <c:xMode val="factor"/>
              <c:yMode val="factor"/>
              <c:x val="0.01625"/>
              <c:y val="-0.002"/>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12700">
            <a:solidFill>
              <a:srgbClr val="000000"/>
            </a:solidFill>
          </a:ln>
        </c:spPr>
        <c:txPr>
          <a:bodyPr vert="horz" rot="0"/>
          <a:lstStyle/>
          <a:p>
            <a:pPr>
              <a:defRPr lang="en-US" cap="none" sz="600" b="0" i="0" u="none" baseline="0">
                <a:solidFill>
                  <a:srgbClr val="000000"/>
                </a:solidFill>
              </a:defRPr>
            </a:pPr>
          </a:p>
        </c:txPr>
        <c:crossAx val="3245891"/>
        <c:crossesAt val="50"/>
        <c:crossBetween val="midCat"/>
        <c:dispUnits/>
        <c:majorUnit val="0.5"/>
        <c:minorUnit val="0.1"/>
      </c:valAx>
      <c:valAx>
        <c:axId val="3245891"/>
        <c:scaling>
          <c:orientation val="minMax"/>
          <c:max val="92"/>
          <c:min val="84"/>
        </c:scaling>
        <c:axPos val="l"/>
        <c:title>
          <c:tx>
            <c:rich>
              <a:bodyPr vert="horz" rot="-5400000" anchor="ctr"/>
              <a:lstStyle/>
              <a:p>
                <a:pPr algn="ctr">
                  <a:defRPr/>
                </a:pPr>
                <a:r>
                  <a:rPr lang="en-US" cap="none" sz="800" b="1" i="0" u="none" baseline="0">
                    <a:solidFill>
                      <a:srgbClr val="000000"/>
                    </a:solidFill>
                  </a:rPr>
                  <a:t>% G</a:t>
                </a:r>
                <a:r>
                  <a:rPr lang="en-US" cap="none" sz="800" b="1" i="0" u="none" baseline="-25000">
                    <a:solidFill>
                      <a:srgbClr val="000000"/>
                    </a:solidFill>
                  </a:rPr>
                  <a:t>mm</a:t>
                </a:r>
                <a:r>
                  <a:rPr lang="en-US" cap="none" sz="800" b="1" i="0" u="none" baseline="0">
                    <a:solidFill>
                      <a:srgbClr val="000000"/>
                    </a:solidFill>
                  </a:rPr>
                  <a:t> @ N</a:t>
                </a:r>
                <a:r>
                  <a:rPr lang="en-US" cap="none" sz="800" b="1" i="0" u="none" baseline="-25000">
                    <a:solidFill>
                      <a:srgbClr val="000000"/>
                    </a:solidFill>
                  </a:rPr>
                  <a:t>initial</a:t>
                </a:r>
              </a:p>
            </c:rich>
          </c:tx>
          <c:layout>
            <c:manualLayout>
              <c:xMode val="factor"/>
              <c:yMode val="factor"/>
              <c:x val="-0.003"/>
              <c:y val="0.02075"/>
            </c:manualLayout>
          </c:layout>
          <c:overlay val="0"/>
          <c:spPr>
            <a:noFill/>
            <a:ln w="3175">
              <a:noFill/>
            </a:ln>
          </c:spPr>
        </c:title>
        <c:majorGridlines>
          <c:spPr>
            <a:ln w="12700">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0012978"/>
        <c:crossesAt val="4"/>
        <c:crossBetween val="midCat"/>
        <c:dispUnits/>
        <c:majorUnit val="1"/>
        <c:minorUnit val="0.5"/>
      </c:valAx>
      <c:spPr>
        <a:noFill/>
        <a:ln>
          <a:noFill/>
        </a:ln>
      </c:spPr>
    </c:plotArea>
    <c:plotVisOnly val="0"/>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01175"/>
          <c:w val="0.9485"/>
          <c:h val="0.93875"/>
        </c:manualLayout>
      </c:layout>
      <c:scatterChart>
        <c:scatterStyle val="lineMarker"/>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Data'!$H$2:$H$3</c:f>
              <c:numCache>
                <c:ptCount val="2"/>
                <c:pt idx="0">
                  <c:v>5.814823031727799</c:v>
                </c:pt>
                <c:pt idx="1">
                  <c:v>5.814823031727799</c:v>
                </c:pt>
              </c:numCache>
            </c:numRef>
          </c:xVal>
          <c:yVal>
            <c:numRef>
              <c:f>'Chart Data'!$I$2:$I$3</c:f>
              <c:numCache>
                <c:ptCount val="2"/>
                <c:pt idx="0">
                  <c:v>0</c:v>
                </c:pt>
                <c:pt idx="1">
                  <c:v>100</c:v>
                </c:pt>
              </c:numCache>
            </c:numRef>
          </c:yVal>
          <c:smooth val="0"/>
        </c:ser>
        <c:ser>
          <c:idx val="3"/>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Data'!$D$4:$D$15</c:f>
              <c:numCache>
                <c:ptCount val="12"/>
                <c:pt idx="0">
                  <c:v>4.256699612603923</c:v>
                </c:pt>
                <c:pt idx="1">
                  <c:v>3.762176102386298</c:v>
                </c:pt>
                <c:pt idx="2">
                  <c:v>3.116086507375345</c:v>
                </c:pt>
                <c:pt idx="3">
                  <c:v>2.754074108566122</c:v>
                </c:pt>
                <c:pt idx="4">
                  <c:v>2.016100253962929</c:v>
                </c:pt>
                <c:pt idx="5">
                  <c:v>1.4716698795820382</c:v>
                </c:pt>
                <c:pt idx="6">
                  <c:v>1.0773254099250416</c:v>
                </c:pt>
                <c:pt idx="7">
                  <c:v>0.7946356822402045</c:v>
                </c:pt>
                <c:pt idx="8">
                  <c:v>0.5817073679279383</c:v>
                </c:pt>
                <c:pt idx="9">
                  <c:v>0.42583471830473674</c:v>
                </c:pt>
                <c:pt idx="10">
                  <c:v>0.3117292599535</c:v>
                </c:pt>
                <c:pt idx="11">
                  <c:v>0</c:v>
                </c:pt>
              </c:numCache>
            </c:numRef>
          </c:xVal>
          <c:yVal>
            <c:numRef>
              <c:f>'Chart Data'!$B$4:$B$15</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4"/>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Data'!$H$8:$H$9</c:f>
              <c:numCache>
                <c:ptCount val="2"/>
                <c:pt idx="0">
                  <c:v>3.762176102386298</c:v>
                </c:pt>
                <c:pt idx="1">
                  <c:v>3.762176102386298</c:v>
                </c:pt>
              </c:numCache>
            </c:numRef>
          </c:xVal>
          <c:yVal>
            <c:numRef>
              <c:f>'Chart Data'!$I$2:$I$3</c:f>
              <c:numCache>
                <c:ptCount val="2"/>
                <c:pt idx="0">
                  <c:v>0</c:v>
                </c:pt>
                <c:pt idx="1">
                  <c:v>100</c:v>
                </c:pt>
              </c:numCache>
            </c:numRef>
          </c:yVal>
          <c:smooth val="0"/>
        </c:ser>
        <c:ser>
          <c:idx val="5"/>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Data'!$H$10:$H$11</c:f>
              <c:numCache>
                <c:ptCount val="2"/>
                <c:pt idx="0">
                  <c:v>3.116086507375345</c:v>
                </c:pt>
                <c:pt idx="1">
                  <c:v>3.116086507375345</c:v>
                </c:pt>
              </c:numCache>
            </c:numRef>
          </c:xVal>
          <c:yVal>
            <c:numRef>
              <c:f>'Chart Data'!$I$2:$I$3</c:f>
              <c:numCache>
                <c:ptCount val="2"/>
                <c:pt idx="0">
                  <c:v>0</c:v>
                </c:pt>
                <c:pt idx="1">
                  <c:v>100</c:v>
                </c:pt>
              </c:numCache>
            </c:numRef>
          </c:yVal>
          <c:smooth val="0"/>
        </c:ser>
        <c:ser>
          <c:idx val="6"/>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Data'!$H$12:$H$13</c:f>
              <c:numCache>
                <c:ptCount val="2"/>
                <c:pt idx="0">
                  <c:v>2.754074108566122</c:v>
                </c:pt>
                <c:pt idx="1">
                  <c:v>2.754074108566122</c:v>
                </c:pt>
              </c:numCache>
            </c:numRef>
          </c:xVal>
          <c:yVal>
            <c:numRef>
              <c:f>'Chart Data'!$I$2:$I$3</c:f>
              <c:numCache>
                <c:ptCount val="2"/>
                <c:pt idx="0">
                  <c:v>0</c:v>
                </c:pt>
                <c:pt idx="1">
                  <c:v>100</c:v>
                </c:pt>
              </c:numCache>
            </c:numRef>
          </c:yVal>
          <c:smooth val="0"/>
        </c:ser>
        <c:ser>
          <c:idx val="7"/>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Data'!$H$6:$H$7</c:f>
              <c:numCache>
                <c:ptCount val="2"/>
                <c:pt idx="0">
                  <c:v>4.256699612603923</c:v>
                </c:pt>
                <c:pt idx="1">
                  <c:v>4.256699612603923</c:v>
                </c:pt>
              </c:numCache>
            </c:numRef>
          </c:xVal>
          <c:yVal>
            <c:numRef>
              <c:f>'Chart Data'!$I$2:$I$3</c:f>
              <c:numCache>
                <c:ptCount val="2"/>
                <c:pt idx="0">
                  <c:v>0</c:v>
                </c:pt>
                <c:pt idx="1">
                  <c:v>100</c:v>
                </c:pt>
              </c:numCache>
            </c:numRef>
          </c:yVal>
          <c:smooth val="0"/>
        </c:ser>
        <c:ser>
          <c:idx val="8"/>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Data'!$H$14:$H$15</c:f>
              <c:numCache>
                <c:ptCount val="2"/>
                <c:pt idx="0">
                  <c:v>2.016100253962929</c:v>
                </c:pt>
                <c:pt idx="1">
                  <c:v>2.016100253962929</c:v>
                </c:pt>
              </c:numCache>
            </c:numRef>
          </c:xVal>
          <c:yVal>
            <c:numRef>
              <c:f>'Chart Data'!$I$2:$I$3</c:f>
              <c:numCache>
                <c:ptCount val="2"/>
                <c:pt idx="0">
                  <c:v>0</c:v>
                </c:pt>
                <c:pt idx="1">
                  <c:v>100</c:v>
                </c:pt>
              </c:numCache>
            </c:numRef>
          </c:yVal>
          <c:smooth val="0"/>
        </c:ser>
        <c:ser>
          <c:idx val="9"/>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Data'!$H$16:$H$17</c:f>
              <c:numCache>
                <c:ptCount val="2"/>
                <c:pt idx="0">
                  <c:v>1.4716698795820382</c:v>
                </c:pt>
                <c:pt idx="1">
                  <c:v>1.4716698795820382</c:v>
                </c:pt>
              </c:numCache>
            </c:numRef>
          </c:xVal>
          <c:yVal>
            <c:numRef>
              <c:f>'Chart Data'!$I$2:$I$3</c:f>
              <c:numCache>
                <c:ptCount val="2"/>
                <c:pt idx="0">
                  <c:v>0</c:v>
                </c:pt>
                <c:pt idx="1">
                  <c:v>100</c:v>
                </c:pt>
              </c:numCache>
            </c:numRef>
          </c:yVal>
          <c:smooth val="0"/>
        </c:ser>
        <c:ser>
          <c:idx val="10"/>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Data'!$H$18:$H$19</c:f>
              <c:numCache>
                <c:ptCount val="2"/>
                <c:pt idx="0">
                  <c:v>1.0773254099250416</c:v>
                </c:pt>
                <c:pt idx="1">
                  <c:v>1.0773254099250416</c:v>
                </c:pt>
              </c:numCache>
            </c:numRef>
          </c:xVal>
          <c:yVal>
            <c:numRef>
              <c:f>'Chart Data'!$I$2:$I$3</c:f>
              <c:numCache>
                <c:ptCount val="2"/>
                <c:pt idx="0">
                  <c:v>0</c:v>
                </c:pt>
                <c:pt idx="1">
                  <c:v>100</c:v>
                </c:pt>
              </c:numCache>
            </c:numRef>
          </c:yVal>
          <c:smooth val="0"/>
        </c:ser>
        <c:ser>
          <c:idx val="11"/>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Data'!$H$20:$H$21</c:f>
              <c:numCache>
                <c:ptCount val="2"/>
                <c:pt idx="0">
                  <c:v>0.7946356822402045</c:v>
                </c:pt>
                <c:pt idx="1">
                  <c:v>0.7946356822402045</c:v>
                </c:pt>
              </c:numCache>
            </c:numRef>
          </c:xVal>
          <c:yVal>
            <c:numRef>
              <c:f>'Chart Data'!$I$2:$I$3</c:f>
              <c:numCache>
                <c:ptCount val="2"/>
                <c:pt idx="0">
                  <c:v>0</c:v>
                </c:pt>
                <c:pt idx="1">
                  <c:v>100</c:v>
                </c:pt>
              </c:numCache>
            </c:numRef>
          </c:yVal>
          <c:smooth val="0"/>
        </c:ser>
        <c:ser>
          <c:idx val="12"/>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Data'!$H$22:$H$23</c:f>
              <c:numCache>
                <c:ptCount val="2"/>
                <c:pt idx="0">
                  <c:v>0.5817073679279383</c:v>
                </c:pt>
                <c:pt idx="1">
                  <c:v>0.5817073679279383</c:v>
                </c:pt>
              </c:numCache>
            </c:numRef>
          </c:xVal>
          <c:yVal>
            <c:numRef>
              <c:f>'Chart Data'!$I$2:$I$3</c:f>
              <c:numCache>
                <c:ptCount val="2"/>
                <c:pt idx="0">
                  <c:v>0</c:v>
                </c:pt>
                <c:pt idx="1">
                  <c:v>100</c:v>
                </c:pt>
              </c:numCache>
            </c:numRef>
          </c:yVal>
          <c:smooth val="0"/>
        </c:ser>
        <c:ser>
          <c:idx val="13"/>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Data'!$H$24:$H$25</c:f>
              <c:numCache>
                <c:ptCount val="2"/>
                <c:pt idx="0">
                  <c:v>0.42583471830473674</c:v>
                </c:pt>
                <c:pt idx="1">
                  <c:v>0.42583471830473674</c:v>
                </c:pt>
              </c:numCache>
            </c:numRef>
          </c:xVal>
          <c:yVal>
            <c:numRef>
              <c:f>'Chart Data'!$I$2:$I$3</c:f>
              <c:numCache>
                <c:ptCount val="2"/>
                <c:pt idx="0">
                  <c:v>0</c:v>
                </c:pt>
                <c:pt idx="1">
                  <c:v>100</c:v>
                </c:pt>
              </c:numCache>
            </c:numRef>
          </c:yVal>
          <c:smooth val="0"/>
        </c:ser>
        <c:ser>
          <c:idx val="14"/>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Data'!$H$26:$H$27</c:f>
              <c:numCache>
                <c:ptCount val="2"/>
                <c:pt idx="0">
                  <c:v>0.3117292599535</c:v>
                </c:pt>
                <c:pt idx="1">
                  <c:v>0.3117292599535</c:v>
                </c:pt>
              </c:numCache>
            </c:numRef>
          </c:xVal>
          <c:yVal>
            <c:numRef>
              <c:f>'Chart Data'!$I$2:$I$3</c:f>
              <c:numCache>
                <c:ptCount val="2"/>
                <c:pt idx="0">
                  <c:v>0</c:v>
                </c:pt>
                <c:pt idx="1">
                  <c:v>100</c:v>
                </c:pt>
              </c:numCache>
            </c:numRef>
          </c:yVal>
          <c:smooth val="0"/>
        </c:ser>
        <c:ser>
          <c:idx val="15"/>
          <c:order val="1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'Chart Data'!$D$2:$D$15</c:f>
              <c:numCache>
                <c:ptCount val="14"/>
                <c:pt idx="0">
                  <c:v>5.814823031727799</c:v>
                </c:pt>
                <c:pt idx="1">
                  <c:v>5.1087431744234335</c:v>
                </c:pt>
                <c:pt idx="2">
                  <c:v>4.256699612603923</c:v>
                </c:pt>
                <c:pt idx="3">
                  <c:v>3.762176102386298</c:v>
                </c:pt>
                <c:pt idx="4">
                  <c:v>3.116086507375345</c:v>
                </c:pt>
                <c:pt idx="5">
                  <c:v>2.754074108566122</c:v>
                </c:pt>
                <c:pt idx="6">
                  <c:v>2.016100253962929</c:v>
                </c:pt>
                <c:pt idx="7">
                  <c:v>1.4716698795820382</c:v>
                </c:pt>
                <c:pt idx="8">
                  <c:v>1.0773254099250416</c:v>
                </c:pt>
                <c:pt idx="9">
                  <c:v>0.7946356822402045</c:v>
                </c:pt>
                <c:pt idx="10">
                  <c:v>0.5817073679279383</c:v>
                </c:pt>
                <c:pt idx="11">
                  <c:v>0.42583471830473674</c:v>
                </c:pt>
                <c:pt idx="12">
                  <c:v>0.3117292599535</c:v>
                </c:pt>
                <c:pt idx="13">
                  <c:v>0</c:v>
                </c:pt>
              </c:numCache>
            </c:numRef>
          </c:xVal>
          <c:yVal>
            <c:numRef>
              <c:f>'Chart Data'!$B$2:$B$15</c:f>
              <c:numCache>
                <c:ptCount val="14"/>
                <c:pt idx="0">
                  <c:v>100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ser>
        <c:ser>
          <c:idx val="17"/>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Data'!$G$18:$G$19</c:f>
              <c:numCache>
                <c:ptCount val="2"/>
              </c:numCache>
            </c:numRef>
          </c:xVal>
          <c:yVal>
            <c:numRef>
              <c:f>'Chart Data'!$F$18:$F$19</c:f>
              <c:numCache>
                <c:ptCount val="2"/>
                <c:pt idx="0">
                  <c:v>0</c:v>
                </c:pt>
                <c:pt idx="1">
                  <c:v>100</c:v>
                </c:pt>
              </c:numCache>
            </c:numRef>
          </c:yVal>
          <c:smooth val="0"/>
        </c:ser>
        <c:ser>
          <c:idx val="18"/>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Data'!$F$14:$F$15</c:f>
              <c:numCache>
                <c:ptCount val="2"/>
                <c:pt idx="0">
                  <c:v>0</c:v>
                </c:pt>
              </c:numCache>
            </c:numRef>
          </c:xVal>
          <c:yVal>
            <c:numRef>
              <c:f>'Chart Data'!$G$14:$G$15</c:f>
              <c:numCache>
                <c:ptCount val="2"/>
                <c:pt idx="0">
                  <c:v>0</c:v>
                </c:pt>
                <c:pt idx="1">
                  <c:v>100</c:v>
                </c:pt>
              </c:numCache>
            </c:numRef>
          </c:yVal>
          <c:smooth val="0"/>
        </c:ser>
        <c:ser>
          <c:idx val="16"/>
          <c:order val="16"/>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'Chart Data'!$F$3:$F$10</c:f>
              <c:numCache>
                <c:ptCount val="8"/>
                <c:pt idx="0">
                  <c:v>4.256699612603923</c:v>
                </c:pt>
                <c:pt idx="1">
                  <c:v>3.762176102386298</c:v>
                </c:pt>
                <c:pt idx="2">
                  <c:v>3.762176102386298</c:v>
                </c:pt>
                <c:pt idx="3">
                  <c:v>3.116086507375345</c:v>
                </c:pt>
                <c:pt idx="4">
                  <c:v>1.4716698795820382</c:v>
                </c:pt>
                <c:pt idx="5">
                  <c:v>1.4716698795820382</c:v>
                </c:pt>
                <c:pt idx="6">
                  <c:v>0.3117292599535</c:v>
                </c:pt>
                <c:pt idx="7">
                  <c:v>0.3117292599535</c:v>
                </c:pt>
              </c:numCache>
            </c:numRef>
          </c:xVal>
          <c:yVal>
            <c:numRef>
              <c:f>'Chart Data'!$G$3:$G$10</c:f>
              <c:numCache>
                <c:ptCount val="8"/>
                <c:pt idx="0">
                  <c:v>100</c:v>
                </c:pt>
                <c:pt idx="1">
                  <c:v>100</c:v>
                </c:pt>
                <c:pt idx="2">
                  <c:v>90</c:v>
                </c:pt>
                <c:pt idx="3">
                  <c:v>90</c:v>
                </c:pt>
                <c:pt idx="4">
                  <c:v>49</c:v>
                </c:pt>
                <c:pt idx="5">
                  <c:v>23</c:v>
                </c:pt>
                <c:pt idx="6">
                  <c:v>8</c:v>
                </c:pt>
                <c:pt idx="7">
                  <c:v>2</c:v>
                </c:pt>
              </c:numCache>
            </c:numRef>
          </c:yVal>
          <c:smooth val="0"/>
        </c:ser>
        <c:ser>
          <c:idx val="0"/>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Data'!$H$4:$H$5</c:f>
              <c:numCache>
                <c:ptCount val="2"/>
                <c:pt idx="0">
                  <c:v>5.1087431744234335</c:v>
                </c:pt>
                <c:pt idx="1">
                  <c:v>5.1087431744234335</c:v>
                </c:pt>
              </c:numCache>
            </c:numRef>
          </c:xVal>
          <c:yVal>
            <c:numRef>
              <c:f>'Chart Data'!$I$2:$I$3</c:f>
              <c:numCache>
                <c:ptCount val="2"/>
                <c:pt idx="0">
                  <c:v>0</c:v>
                </c:pt>
                <c:pt idx="1">
                  <c:v>100</c:v>
                </c:pt>
              </c:numCache>
            </c:numRef>
          </c:yVal>
          <c:smooth val="0"/>
        </c:ser>
        <c:axId val="41844524"/>
        <c:axId val="41056397"/>
      </c:scatterChart>
      <c:valAx>
        <c:axId val="41844524"/>
        <c:scaling>
          <c:orientation val="minMax"/>
          <c:max val="5.8148229999999845"/>
          <c:min val="0"/>
        </c:scaling>
        <c:axPos val="b"/>
        <c:title>
          <c:tx>
            <c:rich>
              <a:bodyPr vert="horz" rot="0" anchor="ctr"/>
              <a:lstStyle/>
              <a:p>
                <a:pPr algn="ctr">
                  <a:defRPr/>
                </a:pPr>
                <a:r>
                  <a:rPr lang="en-US" cap="none" sz="1000" b="1" i="0" u="none" baseline="0">
                    <a:solidFill>
                      <a:srgbClr val="000000"/>
                    </a:solidFill>
                  </a:rPr>
                  <a:t>Sieve Size (in.)</a:t>
                </a:r>
              </a:p>
            </c:rich>
          </c:tx>
          <c:layout>
            <c:manualLayout>
              <c:xMode val="factor"/>
              <c:yMode val="factor"/>
              <c:x val="-0.009"/>
              <c:y val="-0.00275"/>
            </c:manualLayout>
          </c:layout>
          <c:overlay val="0"/>
          <c:spPr>
            <a:noFill/>
            <a:ln w="3175">
              <a:noFill/>
            </a:ln>
          </c:spPr>
        </c:title>
        <c:delete val="1"/>
        <c:majorTickMark val="out"/>
        <c:minorTickMark val="none"/>
        <c:tickLblPos val="none"/>
        <c:crossAx val="41056397"/>
        <c:crosses val="autoZero"/>
        <c:crossBetween val="midCat"/>
        <c:dispUnits/>
        <c:majorUnit val="0.814823"/>
      </c:valAx>
      <c:valAx>
        <c:axId val="41056397"/>
        <c:scaling>
          <c:orientation val="minMax"/>
          <c:max val="100"/>
        </c:scaling>
        <c:axPos val="l"/>
        <c:title>
          <c:tx>
            <c:rich>
              <a:bodyPr vert="horz" rot="-5400000" anchor="ctr"/>
              <a:lstStyle/>
              <a:p>
                <a:pPr algn="ctr">
                  <a:defRPr/>
                </a:pPr>
                <a:r>
                  <a:rPr lang="en-US" cap="none" sz="1000" b="1" i="0" u="none" baseline="0">
                    <a:solidFill>
                      <a:srgbClr val="000000"/>
                    </a:solidFill>
                  </a:rPr>
                  <a:t>Percent Passing</a:t>
                </a:r>
              </a:p>
            </c:rich>
          </c:tx>
          <c:layout>
            <c:manualLayout>
              <c:xMode val="factor"/>
              <c:yMode val="factor"/>
              <c:x val="-0.00075"/>
              <c:y val="-0.0005"/>
            </c:manualLayout>
          </c:layout>
          <c:overlay val="0"/>
          <c:spPr>
            <a:noFill/>
            <a:ln w="3175">
              <a:noFill/>
            </a:ln>
          </c:spPr>
        </c:title>
        <c:majorGridlines>
          <c:spPr>
            <a:ln w="12700">
              <a:solidFill>
                <a:srgbClr val="000000"/>
              </a:solidFill>
            </a:ln>
          </c:spPr>
        </c:majorGridlines>
        <c:minorGridlines>
          <c:spPr>
            <a:ln w="3175">
              <a:solidFill>
                <a:srgbClr val="000000"/>
              </a:solidFill>
            </a:ln>
          </c:spPr>
        </c:minorGridlines>
        <c:delete val="0"/>
        <c:numFmt formatCode="General" sourceLinked="1"/>
        <c:majorTickMark val="cross"/>
        <c:minorTickMark val="none"/>
        <c:tickLblPos val="nextTo"/>
        <c:spPr>
          <a:ln w="12700">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41844524"/>
        <c:crosses val="autoZero"/>
        <c:crossBetween val="midCat"/>
        <c:dispUnits/>
        <c:majorUnit val="10"/>
        <c:minorUnit val="2"/>
      </c:valAx>
      <c:spPr>
        <a:noFill/>
        <a:ln>
          <a:noFill/>
        </a:ln>
      </c:spPr>
    </c:plotArea>
    <c:plotVisOnly val="0"/>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175"/>
          <c:w val="0.949"/>
          <c:h val="0.93875"/>
        </c:manualLayout>
      </c:layout>
      <c:scatterChart>
        <c:scatterStyle val="lineMarker"/>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Data'!$H$2:$H$3</c:f>
              <c:numCache>
                <c:ptCount val="2"/>
                <c:pt idx="0">
                  <c:v>5.814823031727799</c:v>
                </c:pt>
                <c:pt idx="1">
                  <c:v>5.814823031727799</c:v>
                </c:pt>
              </c:numCache>
            </c:numRef>
          </c:xVal>
          <c:yVal>
            <c:numRef>
              <c:f>'Chart Data'!$I$2:$I$3</c:f>
              <c:numCache>
                <c:ptCount val="2"/>
                <c:pt idx="0">
                  <c:v>0</c:v>
                </c:pt>
                <c:pt idx="1">
                  <c:v>100</c:v>
                </c:pt>
              </c:numCache>
            </c:numRef>
          </c:yVal>
          <c:smooth val="0"/>
        </c:ser>
        <c:ser>
          <c:idx val="4"/>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Data'!$H$8:$H$9</c:f>
              <c:numCache>
                <c:ptCount val="2"/>
                <c:pt idx="0">
                  <c:v>3.762176102386298</c:v>
                </c:pt>
                <c:pt idx="1">
                  <c:v>3.762176102386298</c:v>
                </c:pt>
              </c:numCache>
            </c:numRef>
          </c:xVal>
          <c:yVal>
            <c:numRef>
              <c:f>'Chart Data'!$I$2:$I$3</c:f>
              <c:numCache>
                <c:ptCount val="2"/>
                <c:pt idx="0">
                  <c:v>0</c:v>
                </c:pt>
                <c:pt idx="1">
                  <c:v>100</c:v>
                </c:pt>
              </c:numCache>
            </c:numRef>
          </c:yVal>
          <c:smooth val="0"/>
        </c:ser>
        <c:ser>
          <c:idx val="5"/>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Data'!$H$10:$H$11</c:f>
              <c:numCache>
                <c:ptCount val="2"/>
                <c:pt idx="0">
                  <c:v>3.116086507375345</c:v>
                </c:pt>
                <c:pt idx="1">
                  <c:v>3.116086507375345</c:v>
                </c:pt>
              </c:numCache>
            </c:numRef>
          </c:xVal>
          <c:yVal>
            <c:numRef>
              <c:f>'Chart Data'!$I$2:$I$3</c:f>
              <c:numCache>
                <c:ptCount val="2"/>
                <c:pt idx="0">
                  <c:v>0</c:v>
                </c:pt>
                <c:pt idx="1">
                  <c:v>100</c:v>
                </c:pt>
              </c:numCache>
            </c:numRef>
          </c:yVal>
          <c:smooth val="0"/>
        </c:ser>
        <c:ser>
          <c:idx val="6"/>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Data'!$H$12:$H$13</c:f>
              <c:numCache>
                <c:ptCount val="2"/>
                <c:pt idx="0">
                  <c:v>2.754074108566122</c:v>
                </c:pt>
                <c:pt idx="1">
                  <c:v>2.754074108566122</c:v>
                </c:pt>
              </c:numCache>
            </c:numRef>
          </c:xVal>
          <c:yVal>
            <c:numRef>
              <c:f>'Chart Data'!$I$2:$I$3</c:f>
              <c:numCache>
                <c:ptCount val="2"/>
                <c:pt idx="0">
                  <c:v>0</c:v>
                </c:pt>
                <c:pt idx="1">
                  <c:v>100</c:v>
                </c:pt>
              </c:numCache>
            </c:numRef>
          </c:yVal>
          <c:smooth val="0"/>
        </c:ser>
        <c:ser>
          <c:idx val="7"/>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Data'!$H$6:$H$7</c:f>
              <c:numCache>
                <c:ptCount val="2"/>
                <c:pt idx="0">
                  <c:v>4.256699612603923</c:v>
                </c:pt>
                <c:pt idx="1">
                  <c:v>4.256699612603923</c:v>
                </c:pt>
              </c:numCache>
            </c:numRef>
          </c:xVal>
          <c:yVal>
            <c:numRef>
              <c:f>'Chart Data'!$I$2:$I$3</c:f>
              <c:numCache>
                <c:ptCount val="2"/>
                <c:pt idx="0">
                  <c:v>0</c:v>
                </c:pt>
                <c:pt idx="1">
                  <c:v>100</c:v>
                </c:pt>
              </c:numCache>
            </c:numRef>
          </c:yVal>
          <c:smooth val="0"/>
        </c:ser>
        <c:ser>
          <c:idx val="8"/>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Data'!$H$14:$H$15</c:f>
              <c:numCache>
                <c:ptCount val="2"/>
                <c:pt idx="0">
                  <c:v>2.016100253962929</c:v>
                </c:pt>
                <c:pt idx="1">
                  <c:v>2.016100253962929</c:v>
                </c:pt>
              </c:numCache>
            </c:numRef>
          </c:xVal>
          <c:yVal>
            <c:numRef>
              <c:f>'Chart Data'!$I$2:$I$3</c:f>
              <c:numCache>
                <c:ptCount val="2"/>
                <c:pt idx="0">
                  <c:v>0</c:v>
                </c:pt>
                <c:pt idx="1">
                  <c:v>100</c:v>
                </c:pt>
              </c:numCache>
            </c:numRef>
          </c:yVal>
          <c:smooth val="0"/>
        </c:ser>
        <c:ser>
          <c:idx val="9"/>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Data'!$H$16:$H$17</c:f>
              <c:numCache>
                <c:ptCount val="2"/>
                <c:pt idx="0">
                  <c:v>1.4716698795820382</c:v>
                </c:pt>
                <c:pt idx="1">
                  <c:v>1.4716698795820382</c:v>
                </c:pt>
              </c:numCache>
            </c:numRef>
          </c:xVal>
          <c:yVal>
            <c:numRef>
              <c:f>'Chart Data'!$I$2:$I$3</c:f>
              <c:numCache>
                <c:ptCount val="2"/>
                <c:pt idx="0">
                  <c:v>0</c:v>
                </c:pt>
                <c:pt idx="1">
                  <c:v>100</c:v>
                </c:pt>
              </c:numCache>
            </c:numRef>
          </c:yVal>
          <c:smooth val="0"/>
        </c:ser>
        <c:ser>
          <c:idx val="10"/>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Data'!$H$18:$H$19</c:f>
              <c:numCache>
                <c:ptCount val="2"/>
                <c:pt idx="0">
                  <c:v>1.0773254099250416</c:v>
                </c:pt>
                <c:pt idx="1">
                  <c:v>1.0773254099250416</c:v>
                </c:pt>
              </c:numCache>
            </c:numRef>
          </c:xVal>
          <c:yVal>
            <c:numRef>
              <c:f>'Chart Data'!$I$2:$I$3</c:f>
              <c:numCache>
                <c:ptCount val="2"/>
                <c:pt idx="0">
                  <c:v>0</c:v>
                </c:pt>
                <c:pt idx="1">
                  <c:v>100</c:v>
                </c:pt>
              </c:numCache>
            </c:numRef>
          </c:yVal>
          <c:smooth val="0"/>
        </c:ser>
        <c:ser>
          <c:idx val="11"/>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Data'!$H$20:$H$21</c:f>
              <c:numCache>
                <c:ptCount val="2"/>
                <c:pt idx="0">
                  <c:v>0.7946356822402045</c:v>
                </c:pt>
                <c:pt idx="1">
                  <c:v>0.7946356822402045</c:v>
                </c:pt>
              </c:numCache>
            </c:numRef>
          </c:xVal>
          <c:yVal>
            <c:numRef>
              <c:f>'Chart Data'!$I$2:$I$3</c:f>
              <c:numCache>
                <c:ptCount val="2"/>
                <c:pt idx="0">
                  <c:v>0</c:v>
                </c:pt>
                <c:pt idx="1">
                  <c:v>100</c:v>
                </c:pt>
              </c:numCache>
            </c:numRef>
          </c:yVal>
          <c:smooth val="0"/>
        </c:ser>
        <c:ser>
          <c:idx val="12"/>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Data'!$H$22:$H$23</c:f>
              <c:numCache>
                <c:ptCount val="2"/>
                <c:pt idx="0">
                  <c:v>0.5817073679279383</c:v>
                </c:pt>
                <c:pt idx="1">
                  <c:v>0.5817073679279383</c:v>
                </c:pt>
              </c:numCache>
            </c:numRef>
          </c:xVal>
          <c:yVal>
            <c:numRef>
              <c:f>'Chart Data'!$I$2:$I$3</c:f>
              <c:numCache>
                <c:ptCount val="2"/>
                <c:pt idx="0">
                  <c:v>0</c:v>
                </c:pt>
                <c:pt idx="1">
                  <c:v>100</c:v>
                </c:pt>
              </c:numCache>
            </c:numRef>
          </c:yVal>
          <c:smooth val="0"/>
        </c:ser>
        <c:ser>
          <c:idx val="13"/>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Data'!$H$24:$H$25</c:f>
              <c:numCache>
                <c:ptCount val="2"/>
                <c:pt idx="0">
                  <c:v>0.42583471830473674</c:v>
                </c:pt>
                <c:pt idx="1">
                  <c:v>0.42583471830473674</c:v>
                </c:pt>
              </c:numCache>
            </c:numRef>
          </c:xVal>
          <c:yVal>
            <c:numRef>
              <c:f>'Chart Data'!$I$2:$I$3</c:f>
              <c:numCache>
                <c:ptCount val="2"/>
                <c:pt idx="0">
                  <c:v>0</c:v>
                </c:pt>
                <c:pt idx="1">
                  <c:v>100</c:v>
                </c:pt>
              </c:numCache>
            </c:numRef>
          </c:yVal>
          <c:smooth val="0"/>
        </c:ser>
        <c:ser>
          <c:idx val="14"/>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Data'!$H$26:$H$27</c:f>
              <c:numCache>
                <c:ptCount val="2"/>
                <c:pt idx="0">
                  <c:v>0.3117292599535</c:v>
                </c:pt>
                <c:pt idx="1">
                  <c:v>0.3117292599535</c:v>
                </c:pt>
              </c:numCache>
            </c:numRef>
          </c:xVal>
          <c:yVal>
            <c:numRef>
              <c:f>'Chart Data'!$I$2:$I$3</c:f>
              <c:numCache>
                <c:ptCount val="2"/>
                <c:pt idx="0">
                  <c:v>0</c:v>
                </c:pt>
                <c:pt idx="1">
                  <c:v>100</c:v>
                </c:pt>
              </c:numCache>
            </c:numRef>
          </c:yVal>
          <c:smooth val="0"/>
        </c:ser>
        <c:ser>
          <c:idx val="17"/>
          <c:order val="1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Data'!$D$19:$D$25</c:f>
              <c:numCache>
                <c:ptCount val="7"/>
                <c:pt idx="0">
                  <c:v>5.1087431744234335</c:v>
                </c:pt>
                <c:pt idx="1">
                  <c:v>3.762176102386298</c:v>
                </c:pt>
                <c:pt idx="2">
                  <c:v>3.116086507375345</c:v>
                </c:pt>
                <c:pt idx="3">
                  <c:v>2.016100253962929</c:v>
                </c:pt>
                <c:pt idx="4">
                  <c:v>1.4716698795820382</c:v>
                </c:pt>
                <c:pt idx="5">
                  <c:v>0.3117292599535</c:v>
                </c:pt>
                <c:pt idx="6">
                  <c:v>0</c:v>
                </c:pt>
              </c:numCache>
            </c:numRef>
          </c:xVal>
          <c:yVal>
            <c:numRef>
              <c:f>'Chart Data'!$E$19:$E$25</c:f>
              <c:numCache>
                <c:ptCount val="7"/>
                <c:pt idx="0">
                  <c:v>100</c:v>
                </c:pt>
                <c:pt idx="1">
                  <c:v>85</c:v>
                </c:pt>
                <c:pt idx="2">
                  <c:v>35</c:v>
                </c:pt>
                <c:pt idx="3">
                  <c:v>0</c:v>
                </c:pt>
                <c:pt idx="4">
                  <c:v>0</c:v>
                </c:pt>
                <c:pt idx="5">
                  <c:v>0</c:v>
                </c:pt>
                <c:pt idx="6">
                  <c:v>0</c:v>
                </c:pt>
              </c:numCache>
            </c:numRef>
          </c:yVal>
          <c:smooth val="0"/>
        </c:ser>
        <c:ser>
          <c:idx val="18"/>
          <c:order val="13"/>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FF"/>
                </a:solidFill>
              </a:ln>
            </c:spPr>
          </c:marker>
          <c:xVal>
            <c:numRef>
              <c:f>'Chart Data'!$D$19:$D$25</c:f>
              <c:numCache>
                <c:ptCount val="7"/>
                <c:pt idx="0">
                  <c:v>5.1087431744234335</c:v>
                </c:pt>
                <c:pt idx="1">
                  <c:v>3.762176102386298</c:v>
                </c:pt>
                <c:pt idx="2">
                  <c:v>3.116086507375345</c:v>
                </c:pt>
                <c:pt idx="3">
                  <c:v>2.016100253962929</c:v>
                </c:pt>
                <c:pt idx="4">
                  <c:v>1.4716698795820382</c:v>
                </c:pt>
                <c:pt idx="5">
                  <c:v>0.3117292599535</c:v>
                </c:pt>
                <c:pt idx="6">
                  <c:v>0</c:v>
                </c:pt>
              </c:numCache>
            </c:numRef>
          </c:xVal>
          <c:yVal>
            <c:numRef>
              <c:f>'Chart Data'!$B$19:$B$25</c:f>
              <c:numCache>
                <c:ptCount val="7"/>
                <c:pt idx="0">
                  <c:v>0</c:v>
                </c:pt>
                <c:pt idx="1">
                  <c:v>0</c:v>
                </c:pt>
                <c:pt idx="2">
                  <c:v>0</c:v>
                </c:pt>
                <c:pt idx="3">
                  <c:v>0</c:v>
                </c:pt>
                <c:pt idx="4">
                  <c:v>0</c:v>
                </c:pt>
                <c:pt idx="5">
                  <c:v>0</c:v>
                </c:pt>
                <c:pt idx="6">
                  <c:v>0</c:v>
                </c:pt>
              </c:numCache>
            </c:numRef>
          </c:yVal>
          <c:smooth val="0"/>
        </c:ser>
        <c:ser>
          <c:idx val="16"/>
          <c:order val="14"/>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Data'!$D$19:$D$25</c:f>
              <c:numCache>
                <c:ptCount val="7"/>
                <c:pt idx="0">
                  <c:v>5.1087431744234335</c:v>
                </c:pt>
                <c:pt idx="1">
                  <c:v>3.762176102386298</c:v>
                </c:pt>
                <c:pt idx="2">
                  <c:v>3.116086507375345</c:v>
                </c:pt>
                <c:pt idx="3">
                  <c:v>2.016100253962929</c:v>
                </c:pt>
                <c:pt idx="4">
                  <c:v>1.4716698795820382</c:v>
                </c:pt>
                <c:pt idx="5">
                  <c:v>0.3117292599535</c:v>
                </c:pt>
                <c:pt idx="6">
                  <c:v>0</c:v>
                </c:pt>
              </c:numCache>
            </c:numRef>
          </c:xVal>
          <c:yVal>
            <c:numRef>
              <c:f>'Chart Data'!$F$19:$F$25</c:f>
              <c:numCache>
                <c:ptCount val="7"/>
                <c:pt idx="0">
                  <c:v>100</c:v>
                </c:pt>
                <c:pt idx="1">
                  <c:v>100</c:v>
                </c:pt>
                <c:pt idx="2">
                  <c:v>65</c:v>
                </c:pt>
                <c:pt idx="3">
                  <c:v>20</c:v>
                </c:pt>
                <c:pt idx="4">
                  <c:v>10</c:v>
                </c:pt>
                <c:pt idx="5">
                  <c:v>4</c:v>
                </c:pt>
                <c:pt idx="6">
                  <c:v>0</c:v>
                </c:pt>
              </c:numCache>
            </c:numRef>
          </c:yVal>
          <c:smooth val="0"/>
        </c:ser>
        <c:ser>
          <c:idx val="0"/>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'Chart Data'!$H$4:$H$5</c:f>
              <c:numCache>
                <c:ptCount val="2"/>
                <c:pt idx="0">
                  <c:v>5.1087431744234335</c:v>
                </c:pt>
                <c:pt idx="1">
                  <c:v>5.1087431744234335</c:v>
                </c:pt>
              </c:numCache>
            </c:numRef>
          </c:xVal>
          <c:yVal>
            <c:numRef>
              <c:f>'Chart Data'!$I$2:$I$3</c:f>
              <c:numCache>
                <c:ptCount val="2"/>
                <c:pt idx="0">
                  <c:v>0</c:v>
                </c:pt>
                <c:pt idx="1">
                  <c:v>100</c:v>
                </c:pt>
              </c:numCache>
            </c:numRef>
          </c:yVal>
          <c:smooth val="0"/>
        </c:ser>
        <c:axId val="33963254"/>
        <c:axId val="37233831"/>
      </c:scatterChart>
      <c:valAx>
        <c:axId val="33963254"/>
        <c:scaling>
          <c:orientation val="minMax"/>
          <c:max val="5.8148229999999845"/>
          <c:min val="0"/>
        </c:scaling>
        <c:axPos val="b"/>
        <c:title>
          <c:tx>
            <c:rich>
              <a:bodyPr vert="horz" rot="0" anchor="ctr"/>
              <a:lstStyle/>
              <a:p>
                <a:pPr algn="ctr">
                  <a:defRPr/>
                </a:pPr>
                <a:r>
                  <a:rPr lang="en-US" cap="none" sz="1000" b="1" i="0" u="none" baseline="0">
                    <a:solidFill>
                      <a:srgbClr val="000000"/>
                    </a:solidFill>
                  </a:rPr>
                  <a:t>Sieve Size (in.)</a:t>
                </a:r>
              </a:p>
            </c:rich>
          </c:tx>
          <c:layout>
            <c:manualLayout>
              <c:xMode val="factor"/>
              <c:yMode val="factor"/>
              <c:x val="-0.009"/>
              <c:y val="-0.00275"/>
            </c:manualLayout>
          </c:layout>
          <c:overlay val="0"/>
          <c:spPr>
            <a:noFill/>
            <a:ln w="3175">
              <a:noFill/>
            </a:ln>
          </c:spPr>
        </c:title>
        <c:delete val="1"/>
        <c:majorTickMark val="out"/>
        <c:minorTickMark val="none"/>
        <c:tickLblPos val="none"/>
        <c:crossAx val="37233831"/>
        <c:crosses val="autoZero"/>
        <c:crossBetween val="midCat"/>
        <c:dispUnits/>
        <c:majorUnit val="0.814823"/>
      </c:valAx>
      <c:valAx>
        <c:axId val="37233831"/>
        <c:scaling>
          <c:orientation val="minMax"/>
          <c:max val="100"/>
        </c:scaling>
        <c:axPos val="l"/>
        <c:title>
          <c:tx>
            <c:rich>
              <a:bodyPr vert="horz" rot="-5400000" anchor="ctr"/>
              <a:lstStyle/>
              <a:p>
                <a:pPr algn="ctr">
                  <a:defRPr/>
                </a:pPr>
                <a:r>
                  <a:rPr lang="en-US" cap="none" sz="1000" b="1" i="0" u="none" baseline="0">
                    <a:solidFill>
                      <a:srgbClr val="000000"/>
                    </a:solidFill>
                  </a:rPr>
                  <a:t>Percent Passing</a:t>
                </a:r>
              </a:p>
            </c:rich>
          </c:tx>
          <c:layout>
            <c:manualLayout>
              <c:xMode val="factor"/>
              <c:yMode val="factor"/>
              <c:x val="-0.00075"/>
              <c:y val="-0.0005"/>
            </c:manualLayout>
          </c:layout>
          <c:overlay val="0"/>
          <c:spPr>
            <a:noFill/>
            <a:ln w="3175">
              <a:noFill/>
            </a:ln>
          </c:spPr>
        </c:title>
        <c:majorGridlines>
          <c:spPr>
            <a:ln w="12700">
              <a:solidFill>
                <a:srgbClr val="000000"/>
              </a:solidFill>
            </a:ln>
          </c:spPr>
        </c:majorGridlines>
        <c:minorGridlines>
          <c:spPr>
            <a:ln w="3175">
              <a:solidFill>
                <a:srgbClr val="000000"/>
              </a:solidFill>
            </a:ln>
          </c:spPr>
        </c:minorGridlines>
        <c:delete val="0"/>
        <c:numFmt formatCode="General" sourceLinked="1"/>
        <c:majorTickMark val="cross"/>
        <c:minorTickMark val="none"/>
        <c:tickLblPos val="nextTo"/>
        <c:spPr>
          <a:ln w="12700">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3963254"/>
        <c:crosses val="autoZero"/>
        <c:crossBetween val="midCat"/>
        <c:dispUnits/>
        <c:majorUnit val="10"/>
        <c:minorUnit val="2"/>
      </c:valAx>
      <c:spPr>
        <a:noFill/>
        <a:ln>
          <a:noFill/>
        </a:ln>
      </c:spPr>
    </c:plotArea>
    <c:plotVisOnly val="0"/>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 Air Voids vs. % AC</a:t>
            </a:r>
          </a:p>
        </c:rich>
      </c:tx>
      <c:layout>
        <c:manualLayout>
          <c:xMode val="factor"/>
          <c:yMode val="factor"/>
          <c:x val="-0.01125"/>
          <c:y val="-0.00375"/>
        </c:manualLayout>
      </c:layout>
      <c:spPr>
        <a:noFill/>
        <a:ln w="3175">
          <a:noFill/>
        </a:ln>
      </c:spPr>
    </c:title>
    <c:plotArea>
      <c:layout>
        <c:manualLayout>
          <c:xMode val="edge"/>
          <c:yMode val="edge"/>
          <c:x val="0.03075"/>
          <c:y val="0.059"/>
          <c:w val="0.96225"/>
          <c:h val="0.93525"/>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Graphs!$A$190:$A$191</c:f>
              <c:numCache/>
            </c:numRef>
          </c:xVal>
          <c:yVal>
            <c:numRef>
              <c:f>Graphs!$B$190:$B$191</c:f>
              <c:numCache/>
            </c:numRef>
          </c:yVal>
          <c:smooth val="0"/>
        </c:ser>
        <c:ser>
          <c:idx val="0"/>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000000"/>
                </a:solidFill>
              </a:ln>
            </c:spPr>
          </c:marker>
          <c:trendline>
            <c:spPr>
              <a:ln w="25400">
                <a:solidFill>
                  <a:srgbClr val="000000"/>
                </a:solidFill>
              </a:ln>
            </c:spPr>
            <c:trendlineType val="power"/>
            <c:dispEq val="0"/>
            <c:dispRSqr val="0"/>
          </c:trendline>
          <c:xVal>
            <c:numRef>
              <c:f>'Design Data'!$C$86:$C$89</c:f>
              <c:numCache>
                <c:ptCount val="4"/>
              </c:numCache>
            </c:numRef>
          </c:xVal>
          <c:yVal>
            <c:numRef>
              <c:f>'Design Data'!$D$86:$D$89</c:f>
              <c:numCache>
                <c:ptCount val="4"/>
                <c:pt idx="0">
                  <c:v>0</c:v>
                </c:pt>
                <c:pt idx="1">
                  <c:v>0</c:v>
                </c:pt>
                <c:pt idx="2">
                  <c:v>0</c:v>
                </c:pt>
                <c:pt idx="3">
                  <c:v>0</c:v>
                </c:pt>
              </c:numCache>
            </c:numRef>
          </c:yVal>
          <c:smooth val="0"/>
        </c:ser>
        <c:ser>
          <c:idx val="2"/>
          <c:order val="2"/>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 Data'!$C$103:$C$104</c:f>
              <c:numCache>
                <c:ptCount val="2"/>
              </c:numCache>
            </c:numRef>
          </c:xVal>
          <c:yVal>
            <c:numRef>
              <c:f>'Design Data'!$D$103:$D$104</c:f>
              <c:numCache>
                <c:ptCount val="2"/>
                <c:pt idx="0">
                  <c:v>0</c:v>
                </c:pt>
                <c:pt idx="1">
                  <c:v>0</c:v>
                </c:pt>
              </c:numCache>
            </c:numRef>
          </c:yVal>
          <c:smooth val="0"/>
        </c:ser>
        <c:axId val="29213020"/>
        <c:axId val="61590589"/>
      </c:scatterChart>
      <c:valAx>
        <c:axId val="29213020"/>
        <c:scaling>
          <c:orientation val="minMax"/>
          <c:max val="5.5"/>
          <c:min val="4"/>
        </c:scaling>
        <c:axPos val="b"/>
        <c:title>
          <c:tx>
            <c:rich>
              <a:bodyPr vert="horz" rot="0" anchor="ctr"/>
              <a:lstStyle/>
              <a:p>
                <a:pPr algn="ctr">
                  <a:defRPr/>
                </a:pPr>
                <a:r>
                  <a:rPr lang="en-US" cap="none" sz="800" b="1" i="0" u="none" baseline="0">
                    <a:solidFill>
                      <a:srgbClr val="000000"/>
                    </a:solidFill>
                  </a:rPr>
                  <a:t>% AC</a:t>
                </a:r>
              </a:p>
            </c:rich>
          </c:tx>
          <c:layout>
            <c:manualLayout>
              <c:xMode val="factor"/>
              <c:yMode val="factor"/>
              <c:x val="0.0155"/>
              <c:y val="-0.001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12700">
            <a:solidFill>
              <a:srgbClr val="000000"/>
            </a:solidFill>
          </a:ln>
        </c:spPr>
        <c:txPr>
          <a:bodyPr vert="horz" rot="0"/>
          <a:lstStyle/>
          <a:p>
            <a:pPr>
              <a:defRPr lang="en-US" cap="none" sz="600" b="0" i="0" u="none" baseline="0">
                <a:solidFill>
                  <a:srgbClr val="000000"/>
                </a:solidFill>
              </a:defRPr>
            </a:pPr>
          </a:p>
        </c:txPr>
        <c:crossAx val="61590589"/>
        <c:crossesAt val="1"/>
        <c:crossBetween val="midCat"/>
        <c:dispUnits/>
        <c:majorUnit val="0.5"/>
        <c:minorUnit val="0.1"/>
      </c:valAx>
      <c:valAx>
        <c:axId val="61590589"/>
        <c:scaling>
          <c:orientation val="minMax"/>
          <c:max val="7"/>
          <c:min val="3"/>
        </c:scaling>
        <c:axPos val="l"/>
        <c:title>
          <c:tx>
            <c:rich>
              <a:bodyPr vert="horz" rot="-5400000" anchor="ctr"/>
              <a:lstStyle/>
              <a:p>
                <a:pPr algn="ctr">
                  <a:defRPr/>
                </a:pPr>
                <a:r>
                  <a:rPr lang="en-US" cap="none" sz="800" b="1" i="0" u="none" baseline="0">
                    <a:solidFill>
                      <a:srgbClr val="000000"/>
                    </a:solidFill>
                  </a:rPr>
                  <a:t>% Air Voids</a:t>
                </a:r>
              </a:p>
            </c:rich>
          </c:tx>
          <c:layout>
            <c:manualLayout>
              <c:xMode val="factor"/>
              <c:yMode val="factor"/>
              <c:x val="0.0005"/>
              <c:y val="0.00125"/>
            </c:manualLayout>
          </c:layout>
          <c:overlay val="0"/>
          <c:spPr>
            <a:noFill/>
            <a:ln w="3175">
              <a:noFill/>
            </a:ln>
          </c:spPr>
        </c:title>
        <c:majorGridlines>
          <c:spPr>
            <a:ln w="12700">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9213020"/>
        <c:crossesAt val="4"/>
        <c:crossBetween val="midCat"/>
        <c:dispUnits/>
        <c:majorUnit val="1"/>
        <c:minorUnit val="0.2"/>
      </c:valAx>
      <c:spPr>
        <a:noFill/>
        <a:ln>
          <a:noFill/>
        </a:ln>
      </c:spPr>
    </c:plotArea>
    <c:plotVisOnly val="0"/>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 VMA vs. % AC</a:t>
            </a:r>
          </a:p>
        </c:rich>
      </c:tx>
      <c:layout>
        <c:manualLayout>
          <c:xMode val="factor"/>
          <c:yMode val="factor"/>
          <c:x val="-0.009"/>
          <c:y val="0"/>
        </c:manualLayout>
      </c:layout>
      <c:spPr>
        <a:noFill/>
        <a:ln w="3175">
          <a:noFill/>
        </a:ln>
      </c:spPr>
    </c:title>
    <c:plotArea>
      <c:layout>
        <c:manualLayout>
          <c:xMode val="edge"/>
          <c:yMode val="edge"/>
          <c:x val="0.02525"/>
          <c:y val="0.057"/>
          <c:w val="0.96775"/>
          <c:h val="0.939"/>
        </c:manualLayout>
      </c:layout>
      <c:scatterChart>
        <c:scatterStyle val="lineMarker"/>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Graphs!$C$190:$C$191</c:f>
              <c:numCache/>
            </c:numRef>
          </c:xVal>
          <c:yVal>
            <c:numRef>
              <c:f>Graphs!$D$190:$D$191</c:f>
              <c:numCache/>
            </c:numRef>
          </c:yVal>
          <c:smooth val="0"/>
        </c:ser>
        <c:ser>
          <c:idx val="0"/>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000000"/>
                </a:solidFill>
              </a:ln>
            </c:spPr>
          </c:marker>
          <c:trendline>
            <c:spPr>
              <a:ln w="25400">
                <a:solidFill>
                  <a:srgbClr val="000000"/>
                </a:solidFill>
              </a:ln>
            </c:spPr>
            <c:trendlineType val="linear"/>
            <c:dispEq val="0"/>
            <c:dispRSqr val="0"/>
          </c:trendline>
          <c:xVal>
            <c:numRef>
              <c:f>'Design Data'!$E$86:$E$89</c:f>
              <c:numCache>
                <c:ptCount val="4"/>
              </c:numCache>
            </c:numRef>
          </c:xVal>
          <c:yVal>
            <c:numRef>
              <c:f>'Design Data'!$F$86:$F$89</c:f>
              <c:numCache>
                <c:ptCount val="4"/>
                <c:pt idx="0">
                  <c:v>0</c:v>
                </c:pt>
                <c:pt idx="1">
                  <c:v>0</c:v>
                </c:pt>
                <c:pt idx="2">
                  <c:v>0</c:v>
                </c:pt>
                <c:pt idx="3">
                  <c:v>0</c:v>
                </c:pt>
              </c:numCache>
            </c:numRef>
          </c:yVal>
          <c:smooth val="0"/>
        </c:ser>
        <c:ser>
          <c:idx val="2"/>
          <c:order val="2"/>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 Data'!$E$103:$E$104</c:f>
              <c:numCache>
                <c:ptCount val="2"/>
              </c:numCache>
            </c:numRef>
          </c:xVal>
          <c:yVal>
            <c:numRef>
              <c:f>'Design Data'!$F$103:$F$104</c:f>
              <c:numCache>
                <c:ptCount val="2"/>
                <c:pt idx="0">
                  <c:v>0</c:v>
                </c:pt>
                <c:pt idx="1">
                  <c:v>0</c:v>
                </c:pt>
              </c:numCache>
            </c:numRef>
          </c:yVal>
          <c:smooth val="0"/>
        </c:ser>
        <c:axId val="17444390"/>
        <c:axId val="22781783"/>
      </c:scatterChart>
      <c:valAx>
        <c:axId val="17444390"/>
        <c:scaling>
          <c:orientation val="minMax"/>
          <c:max val="5.5"/>
          <c:min val="4"/>
        </c:scaling>
        <c:axPos val="b"/>
        <c:title>
          <c:tx>
            <c:rich>
              <a:bodyPr vert="horz" rot="0" anchor="ctr"/>
              <a:lstStyle/>
              <a:p>
                <a:pPr algn="ctr">
                  <a:defRPr/>
                </a:pPr>
                <a:r>
                  <a:rPr lang="en-US" cap="none" sz="800" b="1" i="0" u="none" baseline="0">
                    <a:solidFill>
                      <a:srgbClr val="000000"/>
                    </a:solidFill>
                  </a:rPr>
                  <a:t>% AC</a:t>
                </a:r>
              </a:p>
            </c:rich>
          </c:tx>
          <c:layout>
            <c:manualLayout>
              <c:xMode val="factor"/>
              <c:yMode val="factor"/>
              <c:x val="0.01575"/>
              <c:y val="-0.000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12700">
            <a:solidFill>
              <a:srgbClr val="000000"/>
            </a:solidFill>
          </a:ln>
        </c:spPr>
        <c:txPr>
          <a:bodyPr vert="horz" rot="0"/>
          <a:lstStyle/>
          <a:p>
            <a:pPr>
              <a:defRPr lang="en-US" cap="none" sz="600" b="0" i="0" u="none" baseline="0">
                <a:solidFill>
                  <a:srgbClr val="000000"/>
                </a:solidFill>
              </a:defRPr>
            </a:pPr>
          </a:p>
        </c:txPr>
        <c:crossAx val="22781783"/>
        <c:crossesAt val="2"/>
        <c:crossBetween val="midCat"/>
        <c:dispUnits/>
        <c:majorUnit val="0.5"/>
        <c:minorUnit val="0.1"/>
      </c:valAx>
      <c:valAx>
        <c:axId val="22781783"/>
        <c:scaling>
          <c:orientation val="minMax"/>
          <c:max val="16"/>
          <c:min val="13"/>
        </c:scaling>
        <c:axPos val="l"/>
        <c:title>
          <c:tx>
            <c:rich>
              <a:bodyPr vert="horz" rot="-5400000" anchor="ctr"/>
              <a:lstStyle/>
              <a:p>
                <a:pPr algn="ctr">
                  <a:defRPr/>
                </a:pPr>
                <a:r>
                  <a:rPr lang="en-US" cap="none" sz="800" b="1" i="0" u="none" baseline="0">
                    <a:solidFill>
                      <a:srgbClr val="000000"/>
                    </a:solidFill>
                  </a:rPr>
                  <a:t>% VMA</a:t>
                </a:r>
              </a:p>
            </c:rich>
          </c:tx>
          <c:layout>
            <c:manualLayout>
              <c:xMode val="factor"/>
              <c:yMode val="factor"/>
              <c:x val="0.0035"/>
              <c:y val="0"/>
            </c:manualLayout>
          </c:layout>
          <c:overlay val="0"/>
          <c:spPr>
            <a:noFill/>
            <a:ln w="3175">
              <a:noFill/>
            </a:ln>
          </c:spPr>
        </c:title>
        <c:majorGridlines>
          <c:spPr>
            <a:ln w="12700">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7444390"/>
        <c:crossesAt val="4"/>
        <c:crossBetween val="midCat"/>
        <c:dispUnits/>
        <c:majorUnit val="1"/>
        <c:minorUnit val="0.2"/>
      </c:valAx>
      <c:spPr>
        <a:noFill/>
        <a:ln>
          <a:noFill/>
        </a:ln>
      </c:spPr>
    </c:plotArea>
    <c:plotVisOnly val="0"/>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Unit Weight vs. % AC</a:t>
            </a:r>
          </a:p>
        </c:rich>
      </c:tx>
      <c:layout>
        <c:manualLayout>
          <c:xMode val="factor"/>
          <c:yMode val="factor"/>
          <c:x val="-0.009"/>
          <c:y val="0"/>
        </c:manualLayout>
      </c:layout>
      <c:spPr>
        <a:noFill/>
        <a:ln w="3175">
          <a:noFill/>
        </a:ln>
      </c:spPr>
    </c:title>
    <c:plotArea>
      <c:layout>
        <c:manualLayout>
          <c:xMode val="edge"/>
          <c:yMode val="edge"/>
          <c:x val="0.03325"/>
          <c:y val="0.06075"/>
          <c:w val="0.9595"/>
          <c:h val="0.93575"/>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Graphs!$A$192:$A$193</c:f>
              <c:numCache/>
            </c:numRef>
          </c:xVal>
          <c:yVal>
            <c:numRef>
              <c:f>Graphs!$B$192:$B$193</c:f>
              <c:numCache/>
            </c:numRef>
          </c:yVal>
          <c:smooth val="0"/>
        </c:ser>
        <c:ser>
          <c:idx val="0"/>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000000"/>
                </a:solidFill>
              </a:ln>
            </c:spPr>
          </c:marker>
          <c:trendline>
            <c:spPr>
              <a:ln w="25400">
                <a:solidFill>
                  <a:srgbClr val="000000"/>
                </a:solidFill>
              </a:ln>
            </c:spPr>
            <c:trendlineType val="log"/>
            <c:dispEq val="0"/>
            <c:dispRSqr val="0"/>
          </c:trendline>
          <c:xVal>
            <c:numRef>
              <c:f>'Design Data'!$C$91:$C$94</c:f>
              <c:numCache>
                <c:ptCount val="4"/>
              </c:numCache>
            </c:numRef>
          </c:xVal>
          <c:yVal>
            <c:numRef>
              <c:f>'Design Data'!$D$91:$D$94</c:f>
              <c:numCache>
                <c:ptCount val="4"/>
                <c:pt idx="0">
                  <c:v>0</c:v>
                </c:pt>
                <c:pt idx="1">
                  <c:v>0</c:v>
                </c:pt>
                <c:pt idx="2">
                  <c:v>0</c:v>
                </c:pt>
                <c:pt idx="3">
                  <c:v>0</c:v>
                </c:pt>
              </c:numCache>
            </c:numRef>
          </c:yVal>
          <c:smooth val="0"/>
        </c:ser>
        <c:axId val="3709456"/>
        <c:axId val="33385105"/>
      </c:scatterChart>
      <c:valAx>
        <c:axId val="3709456"/>
        <c:scaling>
          <c:orientation val="minMax"/>
          <c:max val="5.5"/>
          <c:min val="4"/>
        </c:scaling>
        <c:axPos val="b"/>
        <c:title>
          <c:tx>
            <c:rich>
              <a:bodyPr vert="horz" rot="0" anchor="ctr"/>
              <a:lstStyle/>
              <a:p>
                <a:pPr algn="ctr">
                  <a:defRPr/>
                </a:pPr>
                <a:r>
                  <a:rPr lang="en-US" cap="none" sz="800" b="1" i="0" u="none" baseline="0">
                    <a:solidFill>
                      <a:srgbClr val="000000"/>
                    </a:solidFill>
                  </a:rPr>
                  <a:t>% AC</a:t>
                </a:r>
              </a:p>
            </c:rich>
          </c:tx>
          <c:layout>
            <c:manualLayout>
              <c:xMode val="factor"/>
              <c:yMode val="factor"/>
              <c:x val="0.0155"/>
              <c:y val="-0.001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12700">
            <a:solidFill>
              <a:srgbClr val="000000"/>
            </a:solidFill>
          </a:ln>
        </c:spPr>
        <c:txPr>
          <a:bodyPr vert="horz" rot="0"/>
          <a:lstStyle/>
          <a:p>
            <a:pPr>
              <a:defRPr lang="en-US" cap="none" sz="600" b="0" i="0" u="none" baseline="0">
                <a:solidFill>
                  <a:srgbClr val="000000"/>
                </a:solidFill>
              </a:defRPr>
            </a:pPr>
          </a:p>
        </c:txPr>
        <c:crossAx val="33385105"/>
        <c:crossesAt val="140"/>
        <c:crossBetween val="midCat"/>
        <c:dispUnits/>
        <c:majorUnit val="0.5"/>
        <c:minorUnit val="0.1"/>
      </c:valAx>
      <c:valAx>
        <c:axId val="33385105"/>
        <c:scaling>
          <c:orientation val="minMax"/>
          <c:max val="154"/>
          <c:min val="148"/>
        </c:scaling>
        <c:axPos val="l"/>
        <c:title>
          <c:tx>
            <c:rich>
              <a:bodyPr vert="horz" rot="-5400000" anchor="ctr"/>
              <a:lstStyle/>
              <a:p>
                <a:pPr algn="ctr">
                  <a:defRPr/>
                </a:pPr>
                <a:r>
                  <a:rPr lang="en-US" cap="none" sz="800" b="1" i="0" u="none" baseline="0">
                    <a:solidFill>
                      <a:srgbClr val="000000"/>
                    </a:solidFill>
                  </a:rPr>
                  <a:t>Unit Weight(lb/ft</a:t>
                </a:r>
                <a:r>
                  <a:rPr lang="en-US" cap="none" sz="800" b="1" i="0" u="none" baseline="30000">
                    <a:solidFill>
                      <a:srgbClr val="000000"/>
                    </a:solidFill>
                  </a:rPr>
                  <a:t>3</a:t>
                </a:r>
                <a:r>
                  <a:rPr lang="en-US" cap="none" sz="800" b="1" i="0" u="none" baseline="0">
                    <a:solidFill>
                      <a:srgbClr val="000000"/>
                    </a:solidFill>
                  </a:rPr>
                  <a:t>)</a:t>
                </a:r>
              </a:p>
            </c:rich>
          </c:tx>
          <c:layout>
            <c:manualLayout>
              <c:xMode val="factor"/>
              <c:yMode val="factor"/>
              <c:x val="0.0005"/>
              <c:y val="0.007"/>
            </c:manualLayout>
          </c:layout>
          <c:overlay val="0"/>
          <c:spPr>
            <a:noFill/>
            <a:ln w="3175">
              <a:noFill/>
            </a:ln>
          </c:spPr>
        </c:title>
        <c:majorGridlines>
          <c:spPr>
            <a:ln w="12700">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709456"/>
        <c:crossesAt val="4"/>
        <c:crossBetween val="midCat"/>
        <c:dispUnits/>
        <c:majorUnit val="1"/>
        <c:minorUnit val="0.2"/>
      </c:valAx>
      <c:spPr>
        <a:noFill/>
        <a:ln>
          <a:noFill/>
        </a:ln>
      </c:spPr>
    </c:plotArea>
    <c:plotVisOnly val="0"/>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a:t>
            </a:r>
            <a:r>
              <a:rPr lang="en-US" cap="none" sz="1000" b="1" i="0" u="none" baseline="-25000">
                <a:solidFill>
                  <a:srgbClr val="000000"/>
                </a:solidFill>
              </a:rPr>
              <a:t>mm</a:t>
            </a:r>
            <a:r>
              <a:rPr lang="en-US" cap="none" sz="1000" b="1" i="0" u="none" baseline="0">
                <a:solidFill>
                  <a:srgbClr val="000000"/>
                </a:solidFill>
              </a:rPr>
              <a:t> vs. % AC</a:t>
            </a:r>
          </a:p>
        </c:rich>
      </c:tx>
      <c:layout>
        <c:manualLayout>
          <c:xMode val="factor"/>
          <c:yMode val="factor"/>
          <c:x val="-0.009"/>
          <c:y val="-0.0155"/>
        </c:manualLayout>
      </c:layout>
      <c:spPr>
        <a:noFill/>
        <a:ln w="3175">
          <a:noFill/>
        </a:ln>
      </c:spPr>
    </c:title>
    <c:plotArea>
      <c:layout>
        <c:manualLayout>
          <c:xMode val="edge"/>
          <c:yMode val="edge"/>
          <c:x val="0.0265"/>
          <c:y val="0.077"/>
          <c:w val="0.96625"/>
          <c:h val="0.904"/>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Graphs!$C$192:$C$193</c:f>
              <c:numCache/>
            </c:numRef>
          </c:xVal>
          <c:yVal>
            <c:numRef>
              <c:f>Graphs!$D$192:$D$193</c:f>
              <c:numCache/>
            </c:numRef>
          </c:yVal>
          <c:smooth val="0"/>
        </c:ser>
        <c:ser>
          <c:idx val="0"/>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000000"/>
                </a:solidFill>
              </a:ln>
            </c:spPr>
          </c:marker>
          <c:xVal>
            <c:numRef>
              <c:f>'Design Data'!$E$91:$E$94</c:f>
              <c:numCache>
                <c:ptCount val="4"/>
              </c:numCache>
            </c:numRef>
          </c:xVal>
          <c:yVal>
            <c:numRef>
              <c:f>'Design Data'!$F$91:$F$94</c:f>
              <c:numCache>
                <c:ptCount val="4"/>
                <c:pt idx="0">
                  <c:v>0</c:v>
                </c:pt>
                <c:pt idx="1">
                  <c:v>0</c:v>
                </c:pt>
                <c:pt idx="2">
                  <c:v>0</c:v>
                </c:pt>
                <c:pt idx="3">
                  <c:v>0</c:v>
                </c:pt>
              </c:numCache>
            </c:numRef>
          </c:yVal>
          <c:smooth val="0"/>
        </c:ser>
        <c:axId val="32030490"/>
        <c:axId val="19838955"/>
      </c:scatterChart>
      <c:valAx>
        <c:axId val="32030490"/>
        <c:scaling>
          <c:orientation val="minMax"/>
          <c:max val="5.5"/>
          <c:min val="4"/>
        </c:scaling>
        <c:axPos val="b"/>
        <c:title>
          <c:tx>
            <c:rich>
              <a:bodyPr vert="horz" rot="0" anchor="ctr"/>
              <a:lstStyle/>
              <a:p>
                <a:pPr algn="ctr">
                  <a:defRPr/>
                </a:pPr>
                <a:r>
                  <a:rPr lang="en-US" cap="none" sz="800" b="1" i="0" u="none" baseline="0">
                    <a:solidFill>
                      <a:srgbClr val="000000"/>
                    </a:solidFill>
                  </a:rPr>
                  <a:t>% AC</a:t>
                </a:r>
              </a:p>
            </c:rich>
          </c:tx>
          <c:layout>
            <c:manualLayout>
              <c:xMode val="factor"/>
              <c:yMode val="factor"/>
              <c:x val="0.01525"/>
              <c:y val="-0.001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12700">
            <a:solidFill>
              <a:srgbClr val="000000"/>
            </a:solidFill>
          </a:ln>
        </c:spPr>
        <c:txPr>
          <a:bodyPr vert="horz" rot="0"/>
          <a:lstStyle/>
          <a:p>
            <a:pPr>
              <a:defRPr lang="en-US" cap="none" sz="600" b="0" i="0" u="none" baseline="0">
                <a:solidFill>
                  <a:srgbClr val="000000"/>
                </a:solidFill>
              </a:defRPr>
            </a:pPr>
          </a:p>
        </c:txPr>
        <c:crossAx val="19838955"/>
        <c:crossesAt val="2"/>
        <c:crossBetween val="midCat"/>
        <c:dispUnits/>
        <c:majorUnit val="0.5"/>
        <c:minorUnit val="0.1"/>
      </c:valAx>
      <c:valAx>
        <c:axId val="19838955"/>
        <c:scaling>
          <c:orientation val="minMax"/>
          <c:max val="2.55"/>
          <c:min val="2.4499999999999997"/>
        </c:scaling>
        <c:axPos val="l"/>
        <c:title>
          <c:tx>
            <c:rich>
              <a:bodyPr vert="horz" rot="-5400000" anchor="ctr"/>
              <a:lstStyle/>
              <a:p>
                <a:pPr algn="ctr">
                  <a:defRPr/>
                </a:pPr>
                <a:r>
                  <a:rPr lang="en-US" cap="none" sz="800" b="1" i="0" u="none" baseline="0">
                    <a:solidFill>
                      <a:srgbClr val="000000"/>
                    </a:solidFill>
                  </a:rPr>
                  <a:t>G</a:t>
                </a:r>
                <a:r>
                  <a:rPr lang="en-US" cap="none" sz="800" b="1" i="0" u="none" baseline="-25000">
                    <a:solidFill>
                      <a:srgbClr val="000000"/>
                    </a:solidFill>
                  </a:rPr>
                  <a:t>mm</a:t>
                </a:r>
              </a:p>
            </c:rich>
          </c:tx>
          <c:layout>
            <c:manualLayout>
              <c:xMode val="factor"/>
              <c:yMode val="factor"/>
              <c:x val="0.00125"/>
              <c:y val="0.005"/>
            </c:manualLayout>
          </c:layout>
          <c:overlay val="0"/>
          <c:spPr>
            <a:noFill/>
            <a:ln w="3175">
              <a:noFill/>
            </a:ln>
          </c:spPr>
        </c:title>
        <c:majorGridlines>
          <c:spPr>
            <a:ln w="12700">
              <a:solidFill>
                <a:srgbClr val="000000"/>
              </a:solidFill>
            </a:ln>
          </c:spPr>
        </c:majorGridlines>
        <c:minorGridlines>
          <c:spPr>
            <a:ln w="3175">
              <a:solidFill>
                <a:srgbClr val="000000"/>
              </a:solidFill>
            </a:ln>
          </c:spPr>
        </c:minorGridlines>
        <c:delete val="0"/>
        <c:numFmt formatCode="0.000" sourceLinked="0"/>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2030490"/>
        <c:crossesAt val="4"/>
        <c:crossBetween val="midCat"/>
        <c:dispUnits/>
        <c:majorUnit val="0.010000000000000005"/>
        <c:minorUnit val="0.010000000000000005"/>
      </c:valAx>
      <c:spPr>
        <a:noFill/>
        <a:ln>
          <a:noFill/>
        </a:ln>
      </c:spPr>
    </c:plotArea>
    <c:plotVisOnly val="0"/>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 VFA vs. % AC</a:t>
            </a:r>
          </a:p>
        </c:rich>
      </c:tx>
      <c:layout>
        <c:manualLayout>
          <c:xMode val="factor"/>
          <c:yMode val="factor"/>
          <c:x val="-0.009"/>
          <c:y val="0"/>
        </c:manualLayout>
      </c:layout>
      <c:spPr>
        <a:noFill/>
        <a:ln w="3175">
          <a:noFill/>
        </a:ln>
      </c:spPr>
    </c:title>
    <c:plotArea>
      <c:layout>
        <c:manualLayout>
          <c:xMode val="edge"/>
          <c:yMode val="edge"/>
          <c:x val="0.02525"/>
          <c:y val="0.084"/>
          <c:w val="0.96775"/>
          <c:h val="0.898"/>
        </c:manualLayout>
      </c:layout>
      <c:scatterChart>
        <c:scatterStyle val="lineMarker"/>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Graphs!$C$190:$C$191</c:f>
              <c:numCache/>
            </c:numRef>
          </c:xVal>
          <c:yVal>
            <c:numRef>
              <c:f>Graphs!$D$190:$D$191</c:f>
              <c:numCache/>
            </c:numRef>
          </c:yVal>
          <c:smooth val="0"/>
        </c:ser>
        <c:ser>
          <c:idx val="0"/>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000000"/>
                </a:solidFill>
              </a:ln>
            </c:spPr>
          </c:marker>
          <c:trendline>
            <c:spPr>
              <a:ln w="25400">
                <a:solidFill>
                  <a:srgbClr val="000000"/>
                </a:solidFill>
              </a:ln>
            </c:spPr>
            <c:trendlineType val="log"/>
            <c:dispEq val="0"/>
            <c:dispRSqr val="0"/>
          </c:trendline>
          <c:xVal>
            <c:numRef>
              <c:f>'Design Data'!$A$91:$A$94</c:f>
              <c:numCache>
                <c:ptCount val="4"/>
              </c:numCache>
            </c:numRef>
          </c:xVal>
          <c:yVal>
            <c:numRef>
              <c:f>'Design Data'!$B$91:$B$94</c:f>
              <c:numCache>
                <c:ptCount val="4"/>
                <c:pt idx="0">
                  <c:v>0</c:v>
                </c:pt>
                <c:pt idx="1">
                  <c:v>0</c:v>
                </c:pt>
                <c:pt idx="2">
                  <c:v>0</c:v>
                </c:pt>
                <c:pt idx="3">
                  <c:v>0</c:v>
                </c:pt>
              </c:numCache>
            </c:numRef>
          </c:yVal>
          <c:smooth val="0"/>
        </c:ser>
        <c:ser>
          <c:idx val="2"/>
          <c:order val="2"/>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 Data'!$A$106:$A$107</c:f>
              <c:numCache>
                <c:ptCount val="2"/>
              </c:numCache>
            </c:numRef>
          </c:xVal>
          <c:yVal>
            <c:numRef>
              <c:f>'Design Data'!$B$106:$B$107</c:f>
              <c:numCache>
                <c:ptCount val="2"/>
                <c:pt idx="0">
                  <c:v>0</c:v>
                </c:pt>
                <c:pt idx="1">
                  <c:v>0</c:v>
                </c:pt>
              </c:numCache>
            </c:numRef>
          </c:yVal>
          <c:smooth val="0"/>
        </c:ser>
        <c:ser>
          <c:idx val="3"/>
          <c:order val="3"/>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 Data'!$A$108:$A$109</c:f>
              <c:numCache>
                <c:ptCount val="2"/>
              </c:numCache>
            </c:numRef>
          </c:xVal>
          <c:yVal>
            <c:numRef>
              <c:f>'Design Data'!$B$108:$B$109</c:f>
              <c:numCache>
                <c:ptCount val="2"/>
                <c:pt idx="0">
                  <c:v>0</c:v>
                </c:pt>
                <c:pt idx="1">
                  <c:v>0</c:v>
                </c:pt>
              </c:numCache>
            </c:numRef>
          </c:yVal>
          <c:smooth val="0"/>
        </c:ser>
        <c:axId val="44332868"/>
        <c:axId val="63451493"/>
      </c:scatterChart>
      <c:valAx>
        <c:axId val="44332868"/>
        <c:scaling>
          <c:orientation val="minMax"/>
          <c:max val="5.5"/>
          <c:min val="4"/>
        </c:scaling>
        <c:axPos val="b"/>
        <c:title>
          <c:tx>
            <c:rich>
              <a:bodyPr vert="horz" rot="0" anchor="ctr"/>
              <a:lstStyle/>
              <a:p>
                <a:pPr algn="ctr">
                  <a:defRPr/>
                </a:pPr>
                <a:r>
                  <a:rPr lang="en-US" cap="none" sz="800" b="1" i="0" u="none" baseline="0">
                    <a:solidFill>
                      <a:srgbClr val="000000"/>
                    </a:solidFill>
                  </a:rPr>
                  <a:t>% AC</a:t>
                </a:r>
              </a:p>
            </c:rich>
          </c:tx>
          <c:layout>
            <c:manualLayout>
              <c:xMode val="factor"/>
              <c:yMode val="factor"/>
              <c:x val="0.013"/>
              <c:y val="-0.001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12700">
            <a:solidFill>
              <a:srgbClr val="000000"/>
            </a:solidFill>
          </a:ln>
        </c:spPr>
        <c:txPr>
          <a:bodyPr vert="horz" rot="0"/>
          <a:lstStyle/>
          <a:p>
            <a:pPr>
              <a:defRPr lang="en-US" cap="none" sz="600" b="0" i="0" u="none" baseline="0">
                <a:solidFill>
                  <a:srgbClr val="000000"/>
                </a:solidFill>
              </a:defRPr>
            </a:pPr>
          </a:p>
        </c:txPr>
        <c:crossAx val="63451493"/>
        <c:crossesAt val="30"/>
        <c:crossBetween val="midCat"/>
        <c:dispUnits/>
        <c:majorUnit val="0.5"/>
        <c:minorUnit val="0.1"/>
      </c:valAx>
      <c:valAx>
        <c:axId val="63451493"/>
        <c:scaling>
          <c:orientation val="minMax"/>
          <c:max val="90"/>
          <c:min val="50"/>
        </c:scaling>
        <c:axPos val="l"/>
        <c:title>
          <c:tx>
            <c:rich>
              <a:bodyPr vert="horz" rot="-5400000" anchor="ctr"/>
              <a:lstStyle/>
              <a:p>
                <a:pPr algn="ctr">
                  <a:defRPr/>
                </a:pPr>
                <a:r>
                  <a:rPr lang="en-US" cap="none" sz="800" b="1" i="0" u="none" baseline="0">
                    <a:solidFill>
                      <a:srgbClr val="000000"/>
                    </a:solidFill>
                  </a:rPr>
                  <a:t>% VFA</a:t>
                </a:r>
              </a:p>
            </c:rich>
          </c:tx>
          <c:layout>
            <c:manualLayout>
              <c:xMode val="factor"/>
              <c:yMode val="factor"/>
              <c:x val="0.00225"/>
              <c:y val="0"/>
            </c:manualLayout>
          </c:layout>
          <c:overlay val="0"/>
          <c:spPr>
            <a:noFill/>
            <a:ln w="3175">
              <a:noFill/>
            </a:ln>
          </c:spPr>
        </c:title>
        <c:majorGridlines>
          <c:spPr>
            <a:ln w="12700">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4332868"/>
        <c:crossesAt val="4"/>
        <c:crossBetween val="midCat"/>
        <c:dispUnits/>
        <c:majorUnit val="10"/>
        <c:minorUnit val="2"/>
      </c:valAx>
      <c:spPr>
        <a:noFill/>
        <a:ln>
          <a:noFill/>
        </a:ln>
      </c:spPr>
    </c:plotArea>
    <c:plotVisOnly val="0"/>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Dust/Asphalt Ratio vs. % AC</a:t>
            </a:r>
          </a:p>
        </c:rich>
      </c:tx>
      <c:layout>
        <c:manualLayout>
          <c:xMode val="factor"/>
          <c:yMode val="factor"/>
          <c:x val="-0.0135"/>
          <c:y val="0"/>
        </c:manualLayout>
      </c:layout>
      <c:spPr>
        <a:noFill/>
        <a:ln w="3175">
          <a:noFill/>
        </a:ln>
      </c:spPr>
    </c:title>
    <c:plotArea>
      <c:layout>
        <c:manualLayout>
          <c:xMode val="edge"/>
          <c:yMode val="edge"/>
          <c:x val="0.03075"/>
          <c:y val="0.082"/>
          <c:w val="0.96225"/>
          <c:h val="0.919"/>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Graphs!$A$192:$A$193</c:f>
              <c:numCache/>
            </c:numRef>
          </c:xVal>
          <c:yVal>
            <c:numRef>
              <c:f>Graphs!$B$192:$B$193</c:f>
              <c:numCache/>
            </c:numRef>
          </c:yVal>
          <c:smooth val="0"/>
        </c:ser>
        <c:ser>
          <c:idx val="0"/>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000000"/>
                </a:solidFill>
              </a:ln>
            </c:spPr>
          </c:marker>
          <c:trendline>
            <c:spPr>
              <a:ln w="25400">
                <a:solidFill>
                  <a:srgbClr val="000000"/>
                </a:solidFill>
              </a:ln>
            </c:spPr>
            <c:trendlineType val="linear"/>
            <c:dispEq val="0"/>
            <c:dispRSqr val="0"/>
          </c:trendline>
          <c:xVal>
            <c:numRef>
              <c:f>'Design Data'!$E$96:$E$99</c:f>
              <c:numCache>
                <c:ptCount val="4"/>
              </c:numCache>
            </c:numRef>
          </c:xVal>
          <c:yVal>
            <c:numRef>
              <c:f>'Design Data'!$F$96:$F$99</c:f>
              <c:numCache>
                <c:ptCount val="4"/>
                <c:pt idx="0">
                  <c:v>0</c:v>
                </c:pt>
                <c:pt idx="1">
                  <c:v>0</c:v>
                </c:pt>
                <c:pt idx="2">
                  <c:v>0</c:v>
                </c:pt>
                <c:pt idx="3">
                  <c:v>0</c:v>
                </c:pt>
              </c:numCache>
            </c:numRef>
          </c:yVal>
          <c:smooth val="0"/>
        </c:ser>
        <c:ser>
          <c:idx val="2"/>
          <c:order val="2"/>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 Data'!$C$106:$C$107</c:f>
              <c:numCache>
                <c:ptCount val="2"/>
              </c:numCache>
            </c:numRef>
          </c:xVal>
          <c:yVal>
            <c:numRef>
              <c:f>'Design Data'!$D$106:$D$107</c:f>
              <c:numCache>
                <c:ptCount val="2"/>
                <c:pt idx="0">
                  <c:v>0</c:v>
                </c:pt>
                <c:pt idx="1">
                  <c:v>0</c:v>
                </c:pt>
              </c:numCache>
            </c:numRef>
          </c:yVal>
          <c:smooth val="0"/>
        </c:ser>
        <c:ser>
          <c:idx val="3"/>
          <c:order val="3"/>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'Design Data'!$C$108:$C$109</c:f>
              <c:numCache>
                <c:ptCount val="2"/>
              </c:numCache>
            </c:numRef>
          </c:xVal>
          <c:yVal>
            <c:numRef>
              <c:f>'Design Data'!$D$108:$D$109</c:f>
              <c:numCache>
                <c:ptCount val="2"/>
                <c:pt idx="0">
                  <c:v>0</c:v>
                </c:pt>
                <c:pt idx="1">
                  <c:v>0</c:v>
                </c:pt>
              </c:numCache>
            </c:numRef>
          </c:yVal>
          <c:smooth val="0"/>
        </c:ser>
        <c:axId val="34192526"/>
        <c:axId val="39297279"/>
      </c:scatterChart>
      <c:valAx>
        <c:axId val="34192526"/>
        <c:scaling>
          <c:orientation val="minMax"/>
          <c:max val="5.5"/>
          <c:min val="4"/>
        </c:scaling>
        <c:axPos val="b"/>
        <c:title>
          <c:tx>
            <c:rich>
              <a:bodyPr vert="horz" rot="0" anchor="ctr"/>
              <a:lstStyle/>
              <a:p>
                <a:pPr algn="ctr">
                  <a:defRPr/>
                </a:pPr>
                <a:r>
                  <a:rPr lang="en-US" cap="none" sz="800" b="1" i="0" u="none" baseline="0">
                    <a:solidFill>
                      <a:srgbClr val="000000"/>
                    </a:solidFill>
                  </a:rPr>
                  <a:t>% AC</a:t>
                </a:r>
              </a:p>
            </c:rich>
          </c:tx>
          <c:layout>
            <c:manualLayout>
              <c:xMode val="factor"/>
              <c:yMode val="factor"/>
              <c:x val="0.015"/>
              <c:y val="-0.001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12700">
            <a:solidFill>
              <a:srgbClr val="000000"/>
            </a:solidFill>
          </a:ln>
        </c:spPr>
        <c:txPr>
          <a:bodyPr vert="horz" rot="0"/>
          <a:lstStyle/>
          <a:p>
            <a:pPr>
              <a:defRPr lang="en-US" cap="none" sz="600" b="0" i="0" u="none" baseline="0">
                <a:solidFill>
                  <a:srgbClr val="000000"/>
                </a:solidFill>
              </a:defRPr>
            </a:pPr>
          </a:p>
        </c:txPr>
        <c:crossAx val="39297279"/>
        <c:crossesAt val="0.054"/>
        <c:crossBetween val="midCat"/>
        <c:dispUnits/>
        <c:majorUnit val="0.5"/>
        <c:minorUnit val="0.1"/>
      </c:valAx>
      <c:valAx>
        <c:axId val="39297279"/>
        <c:scaling>
          <c:orientation val="minMax"/>
          <c:max val="1.8"/>
          <c:min val="0.6000000000000006"/>
        </c:scaling>
        <c:axPos val="l"/>
        <c:title>
          <c:tx>
            <c:rich>
              <a:bodyPr vert="horz" rot="-5400000" anchor="ctr"/>
              <a:lstStyle/>
              <a:p>
                <a:pPr algn="ctr">
                  <a:defRPr/>
                </a:pPr>
                <a:r>
                  <a:rPr lang="en-US" cap="none" sz="800" b="1" i="0" u="none" baseline="0">
                    <a:solidFill>
                      <a:srgbClr val="000000"/>
                    </a:solidFill>
                  </a:rPr>
                  <a:t>Dust/Asphalt Ratio</a:t>
                </a:r>
              </a:p>
            </c:rich>
          </c:tx>
          <c:layout>
            <c:manualLayout>
              <c:xMode val="factor"/>
              <c:yMode val="factor"/>
              <c:x val="0.0005"/>
              <c:y val="0.0025"/>
            </c:manualLayout>
          </c:layout>
          <c:overlay val="0"/>
          <c:spPr>
            <a:noFill/>
            <a:ln w="3175">
              <a:noFill/>
            </a:ln>
          </c:spPr>
        </c:title>
        <c:majorGridlines>
          <c:spPr>
            <a:ln w="12700">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4192526"/>
        <c:crossesAt val="4"/>
        <c:crossBetween val="midCat"/>
        <c:dispUnits/>
        <c:majorUnit val="0.2"/>
        <c:minorUnit val="0.1"/>
      </c:valAx>
      <c:spPr>
        <a:noFill/>
        <a:ln>
          <a:noFill/>
        </a:ln>
      </c:spPr>
    </c:plotArea>
    <c:plotVisOnly val="0"/>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 Eff. AC vs. % AC</a:t>
            </a:r>
          </a:p>
        </c:rich>
      </c:tx>
      <c:layout>
        <c:manualLayout>
          <c:xMode val="factor"/>
          <c:yMode val="factor"/>
          <c:x val="-0.00675"/>
          <c:y val="-0.01525"/>
        </c:manualLayout>
      </c:layout>
      <c:spPr>
        <a:noFill/>
        <a:ln w="3175">
          <a:noFill/>
        </a:ln>
      </c:spPr>
    </c:title>
    <c:plotArea>
      <c:layout>
        <c:manualLayout>
          <c:xMode val="edge"/>
          <c:yMode val="edge"/>
          <c:x val="0.0285"/>
          <c:y val="0.0555"/>
          <c:w val="0.9645"/>
          <c:h val="0.938"/>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Graphs!$C$192:$C$193</c:f>
              <c:numCache/>
            </c:numRef>
          </c:xVal>
          <c:yVal>
            <c:numRef>
              <c:f>Graphs!$D$192:$D$193</c:f>
              <c:numCache/>
            </c:numRef>
          </c:yVal>
          <c:smooth val="0"/>
        </c:ser>
        <c:ser>
          <c:idx val="0"/>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000000"/>
                </a:solidFill>
              </a:ln>
            </c:spPr>
          </c:marker>
          <c:xVal>
            <c:numRef>
              <c:f>'Design Data'!$A$96:$A$99</c:f>
              <c:numCache>
                <c:ptCount val="4"/>
              </c:numCache>
            </c:numRef>
          </c:xVal>
          <c:yVal>
            <c:numRef>
              <c:f>'Design Data'!$B$96:$B$99</c:f>
              <c:numCache>
                <c:ptCount val="4"/>
                <c:pt idx="0">
                  <c:v>0</c:v>
                </c:pt>
                <c:pt idx="1">
                  <c:v>0</c:v>
                </c:pt>
                <c:pt idx="2">
                  <c:v>0</c:v>
                </c:pt>
                <c:pt idx="3">
                  <c:v>0</c:v>
                </c:pt>
              </c:numCache>
            </c:numRef>
          </c:yVal>
          <c:smooth val="0"/>
        </c:ser>
        <c:axId val="18131192"/>
        <c:axId val="28963001"/>
      </c:scatterChart>
      <c:valAx>
        <c:axId val="18131192"/>
        <c:scaling>
          <c:orientation val="minMax"/>
          <c:max val="5.5"/>
          <c:min val="4"/>
        </c:scaling>
        <c:axPos val="b"/>
        <c:title>
          <c:tx>
            <c:rich>
              <a:bodyPr vert="horz" rot="0" anchor="ctr"/>
              <a:lstStyle/>
              <a:p>
                <a:pPr algn="ctr">
                  <a:defRPr/>
                </a:pPr>
                <a:r>
                  <a:rPr lang="en-US" cap="none" sz="800" b="1" i="0" u="none" baseline="0">
                    <a:solidFill>
                      <a:srgbClr val="000000"/>
                    </a:solidFill>
                  </a:rPr>
                  <a:t>% AC</a:t>
                </a:r>
              </a:p>
            </c:rich>
          </c:tx>
          <c:layout>
            <c:manualLayout>
              <c:xMode val="factor"/>
              <c:yMode val="factor"/>
              <c:x val="0.01575"/>
              <c:y val="-0.0012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12700">
            <a:solidFill>
              <a:srgbClr val="000000"/>
            </a:solidFill>
          </a:ln>
        </c:spPr>
        <c:txPr>
          <a:bodyPr vert="horz" rot="0"/>
          <a:lstStyle/>
          <a:p>
            <a:pPr>
              <a:defRPr lang="en-US" cap="none" sz="600" b="0" i="0" u="none" baseline="0">
                <a:solidFill>
                  <a:srgbClr val="000000"/>
                </a:solidFill>
              </a:defRPr>
            </a:pPr>
          </a:p>
        </c:txPr>
        <c:crossAx val="28963001"/>
        <c:crossesAt val="2"/>
        <c:crossBetween val="midCat"/>
        <c:dispUnits/>
        <c:majorUnit val="0.5"/>
        <c:minorUnit val="0.1"/>
      </c:valAx>
      <c:valAx>
        <c:axId val="28963001"/>
        <c:scaling>
          <c:orientation val="minMax"/>
          <c:max val="5"/>
          <c:min val="2"/>
        </c:scaling>
        <c:axPos val="l"/>
        <c:title>
          <c:tx>
            <c:rich>
              <a:bodyPr vert="horz" rot="-5400000" anchor="ctr"/>
              <a:lstStyle/>
              <a:p>
                <a:pPr algn="ctr">
                  <a:defRPr/>
                </a:pPr>
                <a:r>
                  <a:rPr lang="en-US" cap="none" sz="800" b="1" i="0" u="none" baseline="0">
                    <a:solidFill>
                      <a:srgbClr val="000000"/>
                    </a:solidFill>
                  </a:rPr>
                  <a:t>% Eff. AC</a:t>
                </a:r>
              </a:p>
            </c:rich>
          </c:tx>
          <c:layout>
            <c:manualLayout>
              <c:xMode val="factor"/>
              <c:yMode val="factor"/>
              <c:x val="0.00125"/>
              <c:y val="0.00475"/>
            </c:manualLayout>
          </c:layout>
          <c:overlay val="0"/>
          <c:spPr>
            <a:noFill/>
            <a:ln w="3175">
              <a:noFill/>
            </a:ln>
          </c:spPr>
        </c:title>
        <c:majorGridlines>
          <c:spPr>
            <a:ln w="12700">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8131192"/>
        <c:crossesAt val="4"/>
        <c:crossBetween val="midCat"/>
        <c:dispUnits/>
        <c:majorUnit val="1"/>
        <c:minorUnit val="0.2"/>
      </c:valAx>
      <c:spPr>
        <a:noFill/>
        <a:ln>
          <a:noFill/>
        </a:ln>
      </c:spPr>
    </c:plotArea>
    <c:plotVisOnly val="0"/>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Film Thickness vs. % AC</a:t>
            </a:r>
          </a:p>
        </c:rich>
      </c:tx>
      <c:layout>
        <c:manualLayout>
          <c:xMode val="factor"/>
          <c:yMode val="factor"/>
          <c:x val="-0.0135"/>
          <c:y val="-0.019"/>
        </c:manualLayout>
      </c:layout>
      <c:spPr>
        <a:noFill/>
        <a:ln w="3175">
          <a:noFill/>
        </a:ln>
      </c:spPr>
    </c:title>
    <c:plotArea>
      <c:layout>
        <c:manualLayout>
          <c:xMode val="edge"/>
          <c:yMode val="edge"/>
          <c:x val="0.0275"/>
          <c:y val="0.05775"/>
          <c:w val="0.9655"/>
          <c:h val="0.927"/>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Graphs!$C$192:$C$193</c:f>
              <c:numCache/>
            </c:numRef>
          </c:xVal>
          <c:yVal>
            <c:numRef>
              <c:f>Graphs!$D$192:$D$193</c:f>
              <c:numCache/>
            </c:numRef>
          </c:yVal>
          <c:smooth val="0"/>
        </c:ser>
        <c:ser>
          <c:idx val="0"/>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000000"/>
                </a:solidFill>
              </a:ln>
            </c:spPr>
          </c:marker>
          <c:xVal>
            <c:numRef>
              <c:f>'Design Data'!$C$96:$C$99</c:f>
              <c:numCache>
                <c:ptCount val="4"/>
              </c:numCache>
            </c:numRef>
          </c:xVal>
          <c:yVal>
            <c:numRef>
              <c:f>'Design Data'!$D$96:$D$99</c:f>
              <c:numCache>
                <c:ptCount val="4"/>
                <c:pt idx="0">
                  <c:v>0</c:v>
                </c:pt>
                <c:pt idx="1">
                  <c:v>0</c:v>
                </c:pt>
                <c:pt idx="2">
                  <c:v>0</c:v>
                </c:pt>
                <c:pt idx="3">
                  <c:v>0</c:v>
                </c:pt>
              </c:numCache>
            </c:numRef>
          </c:yVal>
          <c:smooth val="0"/>
        </c:ser>
        <c:axId val="59340418"/>
        <c:axId val="64301715"/>
      </c:scatterChart>
      <c:valAx>
        <c:axId val="59340418"/>
        <c:scaling>
          <c:orientation val="minMax"/>
          <c:max val="5.5"/>
          <c:min val="4"/>
        </c:scaling>
        <c:axPos val="b"/>
        <c:title>
          <c:tx>
            <c:rich>
              <a:bodyPr vert="horz" rot="0" anchor="ctr"/>
              <a:lstStyle/>
              <a:p>
                <a:pPr algn="ctr">
                  <a:defRPr/>
                </a:pPr>
                <a:r>
                  <a:rPr lang="en-US" cap="none" sz="800" b="1" i="0" u="none" baseline="0">
                    <a:solidFill>
                      <a:srgbClr val="000000"/>
                    </a:solidFill>
                  </a:rPr>
                  <a:t>% AC</a:t>
                </a:r>
              </a:p>
            </c:rich>
          </c:tx>
          <c:layout>
            <c:manualLayout>
              <c:xMode val="factor"/>
              <c:yMode val="factor"/>
              <c:x val="0.01475"/>
              <c:y val="-0.000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12700">
            <a:solidFill>
              <a:srgbClr val="000000"/>
            </a:solidFill>
          </a:ln>
        </c:spPr>
        <c:txPr>
          <a:bodyPr vert="horz" rot="0"/>
          <a:lstStyle/>
          <a:p>
            <a:pPr>
              <a:defRPr lang="en-US" cap="none" sz="600" b="0" i="0" u="none" baseline="0">
                <a:solidFill>
                  <a:srgbClr val="000000"/>
                </a:solidFill>
              </a:defRPr>
            </a:pPr>
          </a:p>
        </c:txPr>
        <c:crossAx val="64301715"/>
        <c:crossesAt val="2"/>
        <c:crossBetween val="midCat"/>
        <c:dispUnits/>
        <c:majorUnit val="0.5"/>
        <c:minorUnit val="0.1"/>
      </c:valAx>
      <c:valAx>
        <c:axId val="64301715"/>
        <c:scaling>
          <c:orientation val="minMax"/>
          <c:max val="12"/>
          <c:min val="6"/>
        </c:scaling>
        <c:axPos val="l"/>
        <c:title>
          <c:tx>
            <c:rich>
              <a:bodyPr vert="horz" rot="-5400000" anchor="ctr"/>
              <a:lstStyle/>
              <a:p>
                <a:pPr algn="ctr">
                  <a:defRPr/>
                </a:pPr>
                <a:r>
                  <a:rPr lang="en-US" cap="none" sz="800" b="1" i="0" u="none" baseline="0">
                    <a:solidFill>
                      <a:srgbClr val="000000"/>
                    </a:solidFill>
                  </a:rPr>
                  <a:t>Film Thickness (µm)</a:t>
                </a:r>
              </a:p>
            </c:rich>
          </c:tx>
          <c:layout>
            <c:manualLayout>
              <c:xMode val="factor"/>
              <c:yMode val="factor"/>
              <c:x val="0.00275"/>
              <c:y val="0.00825"/>
            </c:manualLayout>
          </c:layout>
          <c:overlay val="0"/>
          <c:spPr>
            <a:noFill/>
            <a:ln w="3175">
              <a:noFill/>
            </a:ln>
          </c:spPr>
        </c:title>
        <c:majorGridlines>
          <c:spPr>
            <a:ln w="12700">
              <a:solidFill>
                <a:srgbClr val="000000"/>
              </a:solidFill>
            </a:ln>
          </c:spPr>
        </c:majorGridlines>
        <c:minorGridlines>
          <c:spPr>
            <a:ln w="3175">
              <a:solidFill>
                <a:srgbClr val="000000"/>
              </a:solidFill>
            </a:ln>
          </c:spPr>
        </c:minorGridlines>
        <c:delete val="0"/>
        <c:numFmt formatCode="0.0" sourceLinked="0"/>
        <c:majorTickMark val="cross"/>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9340418"/>
        <c:crossesAt val="4"/>
        <c:crossBetween val="midCat"/>
        <c:dispUnits/>
        <c:majorUnit val="1"/>
        <c:minorUnit val="0.5"/>
      </c:valAx>
      <c:spPr>
        <a:noFill/>
        <a:ln>
          <a:noFill/>
        </a:ln>
      </c:spPr>
    </c:plotArea>
    <c:plotVisOnly val="0"/>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88"/>
  </sheetViews>
  <pageMargins left="0.25" right="0.25" top="0.75" bottom="0.25" header="0.25" footer="0.25"/>
  <pageSetup fitToHeight="0" fitToWidth="0" horizontalDpi="300" verticalDpi="300" orientation="landscape"/>
  <headerFooter>
    <oddHeader>&amp;L
&amp;C
&amp;"Arial,Bold"&amp;12 &amp;U0.45 POWER CHART&amp;R&amp;"Arial,Bold"May 2012&amp;"Arial,Regular"</oddHeader>
    <oddFooter>&amp;CTechnical Responsibility:                          Lab:  00                    Date Received:  N/A                    Date Completed:  &amp;D</oddFooter>
  </headerFooter>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zoomScale="83"/>
  </sheetViews>
  <pageMargins left="0.25" right="0.25" top="0.75" bottom="0.25" header="0.25" footer="0.25"/>
  <pageSetup fitToHeight="0" fitToWidth="0" horizontalDpi="300" verticalDpi="300" orientation="landscape"/>
  <headerFooter>
    <oddHeader>&amp;L
&amp;C
&amp;"Arial,Bold"&amp;12 &amp;U0.45 POWER CHART&amp;R&amp;"Arial,Bold"May 2012&amp;"Arial,Regular"</oddHeader>
    <oddFooter>&amp;CTechnical Responsibility:                          Lab:  00                    Date Received:  N/A                    Date Completed:  &amp;D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3.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7.emf" /><Relationship Id="rId14" Type="http://schemas.openxmlformats.org/officeDocument/2006/relationships/image" Target="../media/image13.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16.emf" /><Relationship Id="rId18" Type="http://schemas.openxmlformats.org/officeDocument/2006/relationships/image" Target="../media/image17.emf" /><Relationship Id="rId19" Type="http://schemas.openxmlformats.org/officeDocument/2006/relationships/image" Target="../media/image18.emf" /><Relationship Id="rId20" Type="http://schemas.openxmlformats.org/officeDocument/2006/relationships/image" Target="../media/image19.emf" /><Relationship Id="rId21"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7</xdr:row>
      <xdr:rowOff>0</xdr:rowOff>
    </xdr:from>
    <xdr:to>
      <xdr:col>21</xdr:col>
      <xdr:colOff>0</xdr:colOff>
      <xdr:row>8</xdr:row>
      <xdr:rowOff>85725</xdr:rowOff>
    </xdr:to>
    <xdr:pic>
      <xdr:nvPicPr>
        <xdr:cNvPr id="1" name="cbTypeOfMix"/>
        <xdr:cNvPicPr preferRelativeResize="1">
          <a:picLocks noChangeAspect="1"/>
        </xdr:cNvPicPr>
      </xdr:nvPicPr>
      <xdr:blipFill>
        <a:blip r:embed="rId1"/>
        <a:stretch>
          <a:fillRect/>
        </a:stretch>
      </xdr:blipFill>
      <xdr:spPr>
        <a:xfrm>
          <a:off x="7429500" y="1200150"/>
          <a:ext cx="3629025" cy="257175"/>
        </a:xfrm>
        <a:prstGeom prst="rect">
          <a:avLst/>
        </a:prstGeom>
        <a:noFill/>
        <a:ln w="9525" cmpd="sng">
          <a:noFill/>
        </a:ln>
      </xdr:spPr>
    </xdr:pic>
    <xdr:clientData fPrintsWithSheet="0"/>
  </xdr:twoCellAnchor>
  <xdr:twoCellAnchor editAs="oneCell">
    <xdr:from>
      <xdr:col>7</xdr:col>
      <xdr:colOff>95250</xdr:colOff>
      <xdr:row>52</xdr:row>
      <xdr:rowOff>247650</xdr:rowOff>
    </xdr:from>
    <xdr:to>
      <xdr:col>10</xdr:col>
      <xdr:colOff>0</xdr:colOff>
      <xdr:row>55</xdr:row>
      <xdr:rowOff>47625</xdr:rowOff>
    </xdr:to>
    <xdr:pic>
      <xdr:nvPicPr>
        <xdr:cNvPr id="2" name="cmdGenerate"/>
        <xdr:cNvPicPr preferRelativeResize="1">
          <a:picLocks noChangeAspect="1"/>
        </xdr:cNvPicPr>
      </xdr:nvPicPr>
      <xdr:blipFill>
        <a:blip r:embed="rId2"/>
        <a:stretch>
          <a:fillRect/>
        </a:stretch>
      </xdr:blipFill>
      <xdr:spPr>
        <a:xfrm>
          <a:off x="3552825" y="9782175"/>
          <a:ext cx="1600200" cy="247650"/>
        </a:xfrm>
        <a:prstGeom prst="rect">
          <a:avLst/>
        </a:prstGeom>
        <a:noFill/>
        <a:ln w="9525" cmpd="sng">
          <a:noFill/>
        </a:ln>
      </xdr:spPr>
    </xdr:pic>
    <xdr:clientData/>
  </xdr:twoCellAnchor>
  <xdr:twoCellAnchor editAs="oneCell">
    <xdr:from>
      <xdr:col>16</xdr:col>
      <xdr:colOff>581025</xdr:colOff>
      <xdr:row>8</xdr:row>
      <xdr:rowOff>171450</xdr:rowOff>
    </xdr:from>
    <xdr:to>
      <xdr:col>21</xdr:col>
      <xdr:colOff>0</xdr:colOff>
      <xdr:row>11</xdr:row>
      <xdr:rowOff>28575</xdr:rowOff>
    </xdr:to>
    <xdr:pic>
      <xdr:nvPicPr>
        <xdr:cNvPr id="3" name="cbSubmittalType"/>
        <xdr:cNvPicPr preferRelativeResize="1">
          <a:picLocks noChangeAspect="1"/>
        </xdr:cNvPicPr>
      </xdr:nvPicPr>
      <xdr:blipFill>
        <a:blip r:embed="rId3"/>
        <a:stretch>
          <a:fillRect/>
        </a:stretch>
      </xdr:blipFill>
      <xdr:spPr>
        <a:xfrm>
          <a:off x="8982075" y="1543050"/>
          <a:ext cx="2076450" cy="257175"/>
        </a:xfrm>
        <a:prstGeom prst="rect">
          <a:avLst/>
        </a:prstGeom>
        <a:noFill/>
        <a:ln w="9525" cmpd="sng">
          <a:noFill/>
        </a:ln>
      </xdr:spPr>
    </xdr:pic>
    <xdr:clientData fPrintsWithSheet="0"/>
  </xdr:twoCellAnchor>
  <xdr:twoCellAnchor editAs="oneCell">
    <xdr:from>
      <xdr:col>12</xdr:col>
      <xdr:colOff>447675</xdr:colOff>
      <xdr:row>17</xdr:row>
      <xdr:rowOff>104775</xdr:rowOff>
    </xdr:from>
    <xdr:to>
      <xdr:col>14</xdr:col>
      <xdr:colOff>257175</xdr:colOff>
      <xdr:row>19</xdr:row>
      <xdr:rowOff>0</xdr:rowOff>
    </xdr:to>
    <xdr:pic>
      <xdr:nvPicPr>
        <xdr:cNvPr id="4" name="cbRefMix1"/>
        <xdr:cNvPicPr preferRelativeResize="1">
          <a:picLocks noChangeAspect="1"/>
        </xdr:cNvPicPr>
      </xdr:nvPicPr>
      <xdr:blipFill>
        <a:blip r:embed="rId4"/>
        <a:stretch>
          <a:fillRect/>
        </a:stretch>
      </xdr:blipFill>
      <xdr:spPr>
        <a:xfrm>
          <a:off x="6791325" y="3019425"/>
          <a:ext cx="895350" cy="238125"/>
        </a:xfrm>
        <a:prstGeom prst="rect">
          <a:avLst/>
        </a:prstGeom>
        <a:noFill/>
        <a:ln w="9525" cmpd="sng">
          <a:noFill/>
        </a:ln>
      </xdr:spPr>
    </xdr:pic>
    <xdr:clientData fLocksWithSheet="0"/>
  </xdr:twoCellAnchor>
  <xdr:twoCellAnchor editAs="oneCell">
    <xdr:from>
      <xdr:col>15</xdr:col>
      <xdr:colOff>0</xdr:colOff>
      <xdr:row>17</xdr:row>
      <xdr:rowOff>104775</xdr:rowOff>
    </xdr:from>
    <xdr:to>
      <xdr:col>16</xdr:col>
      <xdr:colOff>466725</xdr:colOff>
      <xdr:row>19</xdr:row>
      <xdr:rowOff>9525</xdr:rowOff>
    </xdr:to>
    <xdr:pic>
      <xdr:nvPicPr>
        <xdr:cNvPr id="5" name="cbRefMix2"/>
        <xdr:cNvPicPr preferRelativeResize="1">
          <a:picLocks noChangeAspect="1"/>
        </xdr:cNvPicPr>
      </xdr:nvPicPr>
      <xdr:blipFill>
        <a:blip r:embed="rId5"/>
        <a:stretch>
          <a:fillRect/>
        </a:stretch>
      </xdr:blipFill>
      <xdr:spPr>
        <a:xfrm>
          <a:off x="7915275" y="3019425"/>
          <a:ext cx="952500" cy="247650"/>
        </a:xfrm>
        <a:prstGeom prst="rect">
          <a:avLst/>
        </a:prstGeom>
        <a:noFill/>
        <a:ln w="9525" cmpd="sng">
          <a:noFill/>
        </a:ln>
      </xdr:spPr>
    </xdr:pic>
    <xdr:clientData fLocksWithSheet="0"/>
  </xdr:twoCellAnchor>
  <xdr:twoCellAnchor editAs="oneCell">
    <xdr:from>
      <xdr:col>12</xdr:col>
      <xdr:colOff>447675</xdr:colOff>
      <xdr:row>18</xdr:row>
      <xdr:rowOff>171450</xdr:rowOff>
    </xdr:from>
    <xdr:to>
      <xdr:col>14</xdr:col>
      <xdr:colOff>257175</xdr:colOff>
      <xdr:row>20</xdr:row>
      <xdr:rowOff>47625</xdr:rowOff>
    </xdr:to>
    <xdr:pic>
      <xdr:nvPicPr>
        <xdr:cNvPr id="6" name="cbRefMix3"/>
        <xdr:cNvPicPr preferRelativeResize="1">
          <a:picLocks noChangeAspect="1"/>
        </xdr:cNvPicPr>
      </xdr:nvPicPr>
      <xdr:blipFill>
        <a:blip r:embed="rId6"/>
        <a:stretch>
          <a:fillRect/>
        </a:stretch>
      </xdr:blipFill>
      <xdr:spPr>
        <a:xfrm>
          <a:off x="6791325" y="3257550"/>
          <a:ext cx="895350" cy="171450"/>
        </a:xfrm>
        <a:prstGeom prst="rect">
          <a:avLst/>
        </a:prstGeom>
        <a:noFill/>
        <a:ln w="9525" cmpd="sng">
          <a:noFill/>
        </a:ln>
      </xdr:spPr>
    </xdr:pic>
    <xdr:clientData fLocksWithSheet="0"/>
  </xdr:twoCellAnchor>
  <xdr:twoCellAnchor editAs="oneCell">
    <xdr:from>
      <xdr:col>14</xdr:col>
      <xdr:colOff>485775</xdr:colOff>
      <xdr:row>18</xdr:row>
      <xdr:rowOff>171450</xdr:rowOff>
    </xdr:from>
    <xdr:to>
      <xdr:col>18</xdr:col>
      <xdr:colOff>0</xdr:colOff>
      <xdr:row>20</xdr:row>
      <xdr:rowOff>47625</xdr:rowOff>
    </xdr:to>
    <xdr:pic>
      <xdr:nvPicPr>
        <xdr:cNvPr id="7" name="cbRefMix4"/>
        <xdr:cNvPicPr preferRelativeResize="1">
          <a:picLocks noChangeAspect="1"/>
        </xdr:cNvPicPr>
      </xdr:nvPicPr>
      <xdr:blipFill>
        <a:blip r:embed="rId7"/>
        <a:stretch>
          <a:fillRect/>
        </a:stretch>
      </xdr:blipFill>
      <xdr:spPr>
        <a:xfrm>
          <a:off x="7915275" y="3257550"/>
          <a:ext cx="1581150" cy="171450"/>
        </a:xfrm>
        <a:prstGeom prst="rect">
          <a:avLst/>
        </a:prstGeom>
        <a:noFill/>
        <a:ln w="9525" cmpd="sng">
          <a:noFill/>
        </a:ln>
      </xdr:spPr>
    </xdr:pic>
    <xdr:clientData fLocksWithSheet="0"/>
  </xdr:twoCellAnchor>
  <xdr:twoCellAnchor editAs="oneCell">
    <xdr:from>
      <xdr:col>1</xdr:col>
      <xdr:colOff>0</xdr:colOff>
      <xdr:row>53</xdr:row>
      <xdr:rowOff>0</xdr:rowOff>
    </xdr:from>
    <xdr:to>
      <xdr:col>2</xdr:col>
      <xdr:colOff>0</xdr:colOff>
      <xdr:row>54</xdr:row>
      <xdr:rowOff>0</xdr:rowOff>
    </xdr:to>
    <xdr:pic>
      <xdr:nvPicPr>
        <xdr:cNvPr id="8" name="ResetRandomNumbers"/>
        <xdr:cNvPicPr preferRelativeResize="1">
          <a:picLocks noChangeAspect="1"/>
        </xdr:cNvPicPr>
      </xdr:nvPicPr>
      <xdr:blipFill>
        <a:blip r:embed="rId8"/>
        <a:stretch>
          <a:fillRect/>
        </a:stretch>
      </xdr:blipFill>
      <xdr:spPr>
        <a:xfrm>
          <a:off x="485775" y="9782175"/>
          <a:ext cx="542925" cy="247650"/>
        </a:xfrm>
        <a:prstGeom prst="rect">
          <a:avLst/>
        </a:prstGeom>
        <a:noFill/>
        <a:ln w="1" cmpd="sng">
          <a:noFill/>
        </a:ln>
      </xdr:spPr>
    </xdr:pic>
    <xdr:clientData fLocksWithSheet="0"/>
  </xdr:twoCellAnchor>
  <xdr:twoCellAnchor editAs="oneCell">
    <xdr:from>
      <xdr:col>0</xdr:col>
      <xdr:colOff>0</xdr:colOff>
      <xdr:row>16</xdr:row>
      <xdr:rowOff>0</xdr:rowOff>
    </xdr:from>
    <xdr:to>
      <xdr:col>5</xdr:col>
      <xdr:colOff>0</xdr:colOff>
      <xdr:row>17</xdr:row>
      <xdr:rowOff>38100</xdr:rowOff>
    </xdr:to>
    <xdr:pic>
      <xdr:nvPicPr>
        <xdr:cNvPr id="9" name="cbBinderSource"/>
        <xdr:cNvPicPr preferRelativeResize="1">
          <a:picLocks noChangeAspect="1"/>
        </xdr:cNvPicPr>
      </xdr:nvPicPr>
      <xdr:blipFill>
        <a:blip r:embed="rId9"/>
        <a:stretch>
          <a:fillRect/>
        </a:stretch>
      </xdr:blipFill>
      <xdr:spPr>
        <a:xfrm>
          <a:off x="0" y="2743200"/>
          <a:ext cx="2486025" cy="209550"/>
        </a:xfrm>
        <a:prstGeom prst="rect">
          <a:avLst/>
        </a:prstGeom>
        <a:noFill/>
        <a:ln w="9525" cmpd="sng">
          <a:noFill/>
        </a:ln>
      </xdr:spPr>
    </xdr:pic>
    <xdr:clientData fPrintsWithSheet="0"/>
  </xdr:twoCellAnchor>
  <xdr:twoCellAnchor editAs="oneCell">
    <xdr:from>
      <xdr:col>8</xdr:col>
      <xdr:colOff>0</xdr:colOff>
      <xdr:row>13</xdr:row>
      <xdr:rowOff>171450</xdr:rowOff>
    </xdr:from>
    <xdr:to>
      <xdr:col>14</xdr:col>
      <xdr:colOff>0</xdr:colOff>
      <xdr:row>16</xdr:row>
      <xdr:rowOff>28575</xdr:rowOff>
    </xdr:to>
    <xdr:pic>
      <xdr:nvPicPr>
        <xdr:cNvPr id="10" name="ComboBox2"/>
        <xdr:cNvPicPr preferRelativeResize="1">
          <a:picLocks noChangeAspect="1"/>
        </xdr:cNvPicPr>
      </xdr:nvPicPr>
      <xdr:blipFill>
        <a:blip r:embed="rId10"/>
        <a:stretch>
          <a:fillRect/>
        </a:stretch>
      </xdr:blipFill>
      <xdr:spPr>
        <a:xfrm>
          <a:off x="4019550" y="2400300"/>
          <a:ext cx="3409950" cy="180975"/>
        </a:xfrm>
        <a:prstGeom prst="rect">
          <a:avLst/>
        </a:prstGeom>
        <a:noFill/>
        <a:ln w="9525" cmpd="sng">
          <a:noFill/>
        </a:ln>
      </xdr:spPr>
    </xdr:pic>
    <xdr:clientData fPrintsWithSheet="0"/>
  </xdr:twoCellAnchor>
  <xdr:twoCellAnchor editAs="oneCell">
    <xdr:from>
      <xdr:col>24</xdr:col>
      <xdr:colOff>0</xdr:colOff>
      <xdr:row>11</xdr:row>
      <xdr:rowOff>0</xdr:rowOff>
    </xdr:from>
    <xdr:to>
      <xdr:col>26</xdr:col>
      <xdr:colOff>238125</xdr:colOff>
      <xdr:row>12</xdr:row>
      <xdr:rowOff>76200</xdr:rowOff>
    </xdr:to>
    <xdr:pic>
      <xdr:nvPicPr>
        <xdr:cNvPr id="11" name="ComboBox1" hidden="1"/>
        <xdr:cNvPicPr preferRelativeResize="1">
          <a:picLocks noChangeAspect="1"/>
        </xdr:cNvPicPr>
      </xdr:nvPicPr>
      <xdr:blipFill>
        <a:blip r:embed="rId11"/>
        <a:stretch>
          <a:fillRect/>
        </a:stretch>
      </xdr:blipFill>
      <xdr:spPr>
        <a:xfrm>
          <a:off x="12696825" y="1885950"/>
          <a:ext cx="1200150" cy="247650"/>
        </a:xfrm>
        <a:prstGeom prst="rect">
          <a:avLst/>
        </a:prstGeom>
        <a:noFill/>
        <a:ln w="9525" cmpd="sng">
          <a:noFill/>
        </a:ln>
      </xdr:spPr>
    </xdr:pic>
    <xdr:clientData/>
  </xdr:twoCellAnchor>
  <xdr:twoCellAnchor editAs="oneCell">
    <xdr:from>
      <xdr:col>24</xdr:col>
      <xdr:colOff>0</xdr:colOff>
      <xdr:row>13</xdr:row>
      <xdr:rowOff>0</xdr:rowOff>
    </xdr:from>
    <xdr:to>
      <xdr:col>26</xdr:col>
      <xdr:colOff>238125</xdr:colOff>
      <xdr:row>14</xdr:row>
      <xdr:rowOff>76200</xdr:rowOff>
    </xdr:to>
    <xdr:pic>
      <xdr:nvPicPr>
        <xdr:cNvPr id="12" name="ComboBox3" hidden="1"/>
        <xdr:cNvPicPr preferRelativeResize="1">
          <a:picLocks noChangeAspect="1"/>
        </xdr:cNvPicPr>
      </xdr:nvPicPr>
      <xdr:blipFill>
        <a:blip r:embed="rId11"/>
        <a:stretch>
          <a:fillRect/>
        </a:stretch>
      </xdr:blipFill>
      <xdr:spPr>
        <a:xfrm>
          <a:off x="12696825" y="2228850"/>
          <a:ext cx="1200150" cy="247650"/>
        </a:xfrm>
        <a:prstGeom prst="rect">
          <a:avLst/>
        </a:prstGeom>
        <a:noFill/>
        <a:ln w="9525" cmpd="sng">
          <a:noFill/>
        </a:ln>
      </xdr:spPr>
    </xdr:pic>
    <xdr:clientData/>
  </xdr:twoCellAnchor>
  <xdr:twoCellAnchor editAs="oneCell">
    <xdr:from>
      <xdr:col>24</xdr:col>
      <xdr:colOff>0</xdr:colOff>
      <xdr:row>15</xdr:row>
      <xdr:rowOff>0</xdr:rowOff>
    </xdr:from>
    <xdr:to>
      <xdr:col>26</xdr:col>
      <xdr:colOff>238125</xdr:colOff>
      <xdr:row>16</xdr:row>
      <xdr:rowOff>76200</xdr:rowOff>
    </xdr:to>
    <xdr:pic>
      <xdr:nvPicPr>
        <xdr:cNvPr id="13" name="ComboBox4" hidden="1"/>
        <xdr:cNvPicPr preferRelativeResize="1">
          <a:picLocks noChangeAspect="1"/>
        </xdr:cNvPicPr>
      </xdr:nvPicPr>
      <xdr:blipFill>
        <a:blip r:embed="rId11"/>
        <a:stretch>
          <a:fillRect/>
        </a:stretch>
      </xdr:blipFill>
      <xdr:spPr>
        <a:xfrm>
          <a:off x="12696825" y="2571750"/>
          <a:ext cx="1200150" cy="247650"/>
        </a:xfrm>
        <a:prstGeom prst="rect">
          <a:avLst/>
        </a:prstGeom>
        <a:noFill/>
        <a:ln w="9525" cmpd="sng">
          <a:noFill/>
        </a:ln>
      </xdr:spPr>
    </xdr:pic>
    <xdr:clientData/>
  </xdr:twoCellAnchor>
  <xdr:twoCellAnchor editAs="oneCell">
    <xdr:from>
      <xdr:col>24</xdr:col>
      <xdr:colOff>0</xdr:colOff>
      <xdr:row>17</xdr:row>
      <xdr:rowOff>0</xdr:rowOff>
    </xdr:from>
    <xdr:to>
      <xdr:col>26</xdr:col>
      <xdr:colOff>238125</xdr:colOff>
      <xdr:row>18</xdr:row>
      <xdr:rowOff>76200</xdr:rowOff>
    </xdr:to>
    <xdr:pic>
      <xdr:nvPicPr>
        <xdr:cNvPr id="14" name="ComboBox5" hidden="1"/>
        <xdr:cNvPicPr preferRelativeResize="1">
          <a:picLocks noChangeAspect="1"/>
        </xdr:cNvPicPr>
      </xdr:nvPicPr>
      <xdr:blipFill>
        <a:blip r:embed="rId11"/>
        <a:stretch>
          <a:fillRect/>
        </a:stretch>
      </xdr:blipFill>
      <xdr:spPr>
        <a:xfrm>
          <a:off x="12696825" y="2914650"/>
          <a:ext cx="1200150" cy="247650"/>
        </a:xfrm>
        <a:prstGeom prst="rect">
          <a:avLst/>
        </a:prstGeom>
        <a:noFill/>
        <a:ln w="9525" cmpd="sng">
          <a:noFill/>
        </a:ln>
      </xdr:spPr>
    </xdr:pic>
    <xdr:clientData/>
  </xdr:twoCellAnchor>
  <xdr:twoCellAnchor editAs="oneCell">
    <xdr:from>
      <xdr:col>24</xdr:col>
      <xdr:colOff>0</xdr:colOff>
      <xdr:row>19</xdr:row>
      <xdr:rowOff>0</xdr:rowOff>
    </xdr:from>
    <xdr:to>
      <xdr:col>26</xdr:col>
      <xdr:colOff>238125</xdr:colOff>
      <xdr:row>20</xdr:row>
      <xdr:rowOff>76200</xdr:rowOff>
    </xdr:to>
    <xdr:pic>
      <xdr:nvPicPr>
        <xdr:cNvPr id="15" name="ComboBox6" hidden="1"/>
        <xdr:cNvPicPr preferRelativeResize="1">
          <a:picLocks noChangeAspect="1"/>
        </xdr:cNvPicPr>
      </xdr:nvPicPr>
      <xdr:blipFill>
        <a:blip r:embed="rId11"/>
        <a:stretch>
          <a:fillRect/>
        </a:stretch>
      </xdr:blipFill>
      <xdr:spPr>
        <a:xfrm>
          <a:off x="12696825" y="3257550"/>
          <a:ext cx="1200150" cy="247650"/>
        </a:xfrm>
        <a:prstGeom prst="rect">
          <a:avLst/>
        </a:prstGeom>
        <a:noFill/>
        <a:ln w="9525" cmpd="sng">
          <a:noFill/>
        </a:ln>
      </xdr:spPr>
    </xdr:pic>
    <xdr:clientData/>
  </xdr:twoCellAnchor>
  <xdr:twoCellAnchor editAs="oneCell">
    <xdr:from>
      <xdr:col>24</xdr:col>
      <xdr:colOff>0</xdr:colOff>
      <xdr:row>7</xdr:row>
      <xdr:rowOff>0</xdr:rowOff>
    </xdr:from>
    <xdr:to>
      <xdr:col>26</xdr:col>
      <xdr:colOff>552450</xdr:colOff>
      <xdr:row>9</xdr:row>
      <xdr:rowOff>0</xdr:rowOff>
    </xdr:to>
    <xdr:pic>
      <xdr:nvPicPr>
        <xdr:cNvPr id="16" name="TextBox1" hidden="1"/>
        <xdr:cNvPicPr preferRelativeResize="1">
          <a:picLocks noChangeAspect="1"/>
        </xdr:cNvPicPr>
      </xdr:nvPicPr>
      <xdr:blipFill>
        <a:blip r:embed="rId12"/>
        <a:stretch>
          <a:fillRect/>
        </a:stretch>
      </xdr:blipFill>
      <xdr:spPr>
        <a:xfrm>
          <a:off x="12696825" y="1200150"/>
          <a:ext cx="1514475" cy="342900"/>
        </a:xfrm>
        <a:prstGeom prst="rect">
          <a:avLst/>
        </a:prstGeom>
        <a:noFill/>
        <a:ln w="9525" cmpd="sng">
          <a:noFill/>
        </a:ln>
      </xdr:spPr>
    </xdr:pic>
    <xdr:clientData/>
  </xdr:twoCellAnchor>
  <xdr:twoCellAnchor editAs="oneCell">
    <xdr:from>
      <xdr:col>22</xdr:col>
      <xdr:colOff>0</xdr:colOff>
      <xdr:row>5</xdr:row>
      <xdr:rowOff>0</xdr:rowOff>
    </xdr:from>
    <xdr:to>
      <xdr:col>26</xdr:col>
      <xdr:colOff>190500</xdr:colOff>
      <xdr:row>6</xdr:row>
      <xdr:rowOff>142875</xdr:rowOff>
    </xdr:to>
    <xdr:pic>
      <xdr:nvPicPr>
        <xdr:cNvPr id="17" name="Label1" hidden="1"/>
        <xdr:cNvPicPr preferRelativeResize="1">
          <a:picLocks noChangeAspect="1"/>
        </xdr:cNvPicPr>
      </xdr:nvPicPr>
      <xdr:blipFill>
        <a:blip r:embed="rId13"/>
        <a:stretch>
          <a:fillRect/>
        </a:stretch>
      </xdr:blipFill>
      <xdr:spPr>
        <a:xfrm>
          <a:off x="11668125" y="857250"/>
          <a:ext cx="2181225" cy="314325"/>
        </a:xfrm>
        <a:prstGeom prst="rect">
          <a:avLst/>
        </a:prstGeom>
        <a:noFill/>
        <a:ln w="9525" cmpd="sng">
          <a:noFill/>
        </a:ln>
      </xdr:spPr>
    </xdr:pic>
    <xdr:clientData/>
  </xdr:twoCellAnchor>
  <xdr:twoCellAnchor editAs="oneCell">
    <xdr:from>
      <xdr:col>22</xdr:col>
      <xdr:colOff>0</xdr:colOff>
      <xdr:row>7</xdr:row>
      <xdr:rowOff>0</xdr:rowOff>
    </xdr:from>
    <xdr:to>
      <xdr:col>24</xdr:col>
      <xdr:colOff>0</xdr:colOff>
      <xdr:row>8</xdr:row>
      <xdr:rowOff>76200</xdr:rowOff>
    </xdr:to>
    <xdr:pic>
      <xdr:nvPicPr>
        <xdr:cNvPr id="18" name="Label2" hidden="1"/>
        <xdr:cNvPicPr preferRelativeResize="1">
          <a:picLocks noChangeAspect="1"/>
        </xdr:cNvPicPr>
      </xdr:nvPicPr>
      <xdr:blipFill>
        <a:blip r:embed="rId14"/>
        <a:stretch>
          <a:fillRect/>
        </a:stretch>
      </xdr:blipFill>
      <xdr:spPr>
        <a:xfrm>
          <a:off x="11668125" y="1200150"/>
          <a:ext cx="1028700" cy="247650"/>
        </a:xfrm>
        <a:prstGeom prst="rect">
          <a:avLst/>
        </a:prstGeom>
        <a:noFill/>
        <a:ln w="9525" cmpd="sng">
          <a:noFill/>
        </a:ln>
      </xdr:spPr>
    </xdr:pic>
    <xdr:clientData/>
  </xdr:twoCellAnchor>
  <xdr:twoCellAnchor editAs="oneCell">
    <xdr:from>
      <xdr:col>22</xdr:col>
      <xdr:colOff>0</xdr:colOff>
      <xdr:row>11</xdr:row>
      <xdr:rowOff>0</xdr:rowOff>
    </xdr:from>
    <xdr:to>
      <xdr:col>24</xdr:col>
      <xdr:colOff>0</xdr:colOff>
      <xdr:row>12</xdr:row>
      <xdr:rowOff>76200</xdr:rowOff>
    </xdr:to>
    <xdr:pic>
      <xdr:nvPicPr>
        <xdr:cNvPr id="19" name="Label3" hidden="1"/>
        <xdr:cNvPicPr preferRelativeResize="1">
          <a:picLocks noChangeAspect="1"/>
        </xdr:cNvPicPr>
      </xdr:nvPicPr>
      <xdr:blipFill>
        <a:blip r:embed="rId15"/>
        <a:stretch>
          <a:fillRect/>
        </a:stretch>
      </xdr:blipFill>
      <xdr:spPr>
        <a:xfrm>
          <a:off x="11668125" y="1885950"/>
          <a:ext cx="1028700" cy="247650"/>
        </a:xfrm>
        <a:prstGeom prst="rect">
          <a:avLst/>
        </a:prstGeom>
        <a:noFill/>
        <a:ln w="9525" cmpd="sng">
          <a:noFill/>
        </a:ln>
      </xdr:spPr>
    </xdr:pic>
    <xdr:clientData/>
  </xdr:twoCellAnchor>
  <xdr:twoCellAnchor editAs="oneCell">
    <xdr:from>
      <xdr:col>22</xdr:col>
      <xdr:colOff>0</xdr:colOff>
      <xdr:row>13</xdr:row>
      <xdr:rowOff>0</xdr:rowOff>
    </xdr:from>
    <xdr:to>
      <xdr:col>24</xdr:col>
      <xdr:colOff>0</xdr:colOff>
      <xdr:row>14</xdr:row>
      <xdr:rowOff>76200</xdr:rowOff>
    </xdr:to>
    <xdr:pic>
      <xdr:nvPicPr>
        <xdr:cNvPr id="20" name="Label4" hidden="1"/>
        <xdr:cNvPicPr preferRelativeResize="1">
          <a:picLocks noChangeAspect="1"/>
        </xdr:cNvPicPr>
      </xdr:nvPicPr>
      <xdr:blipFill>
        <a:blip r:embed="rId16"/>
        <a:stretch>
          <a:fillRect/>
        </a:stretch>
      </xdr:blipFill>
      <xdr:spPr>
        <a:xfrm>
          <a:off x="11668125" y="2228850"/>
          <a:ext cx="1028700" cy="247650"/>
        </a:xfrm>
        <a:prstGeom prst="rect">
          <a:avLst/>
        </a:prstGeom>
        <a:noFill/>
        <a:ln w="9525" cmpd="sng">
          <a:noFill/>
        </a:ln>
      </xdr:spPr>
    </xdr:pic>
    <xdr:clientData/>
  </xdr:twoCellAnchor>
  <xdr:twoCellAnchor editAs="oneCell">
    <xdr:from>
      <xdr:col>22</xdr:col>
      <xdr:colOff>0</xdr:colOff>
      <xdr:row>15</xdr:row>
      <xdr:rowOff>0</xdr:rowOff>
    </xdr:from>
    <xdr:to>
      <xdr:col>24</xdr:col>
      <xdr:colOff>0</xdr:colOff>
      <xdr:row>16</xdr:row>
      <xdr:rowOff>76200</xdr:rowOff>
    </xdr:to>
    <xdr:pic>
      <xdr:nvPicPr>
        <xdr:cNvPr id="21" name="Label5" hidden="1"/>
        <xdr:cNvPicPr preferRelativeResize="1">
          <a:picLocks noChangeAspect="1"/>
        </xdr:cNvPicPr>
      </xdr:nvPicPr>
      <xdr:blipFill>
        <a:blip r:embed="rId17"/>
        <a:stretch>
          <a:fillRect/>
        </a:stretch>
      </xdr:blipFill>
      <xdr:spPr>
        <a:xfrm>
          <a:off x="11668125" y="2571750"/>
          <a:ext cx="1028700" cy="247650"/>
        </a:xfrm>
        <a:prstGeom prst="rect">
          <a:avLst/>
        </a:prstGeom>
        <a:noFill/>
        <a:ln w="9525" cmpd="sng">
          <a:noFill/>
        </a:ln>
      </xdr:spPr>
    </xdr:pic>
    <xdr:clientData/>
  </xdr:twoCellAnchor>
  <xdr:twoCellAnchor editAs="oneCell">
    <xdr:from>
      <xdr:col>22</xdr:col>
      <xdr:colOff>0</xdr:colOff>
      <xdr:row>17</xdr:row>
      <xdr:rowOff>0</xdr:rowOff>
    </xdr:from>
    <xdr:to>
      <xdr:col>24</xdr:col>
      <xdr:colOff>0</xdr:colOff>
      <xdr:row>18</xdr:row>
      <xdr:rowOff>76200</xdr:rowOff>
    </xdr:to>
    <xdr:pic>
      <xdr:nvPicPr>
        <xdr:cNvPr id="22" name="Label6" hidden="1"/>
        <xdr:cNvPicPr preferRelativeResize="1">
          <a:picLocks noChangeAspect="1"/>
        </xdr:cNvPicPr>
      </xdr:nvPicPr>
      <xdr:blipFill>
        <a:blip r:embed="rId18"/>
        <a:stretch>
          <a:fillRect/>
        </a:stretch>
      </xdr:blipFill>
      <xdr:spPr>
        <a:xfrm>
          <a:off x="11668125" y="2914650"/>
          <a:ext cx="1028700" cy="247650"/>
        </a:xfrm>
        <a:prstGeom prst="rect">
          <a:avLst/>
        </a:prstGeom>
        <a:noFill/>
        <a:ln w="9525" cmpd="sng">
          <a:noFill/>
        </a:ln>
      </xdr:spPr>
    </xdr:pic>
    <xdr:clientData/>
  </xdr:twoCellAnchor>
  <xdr:twoCellAnchor editAs="oneCell">
    <xdr:from>
      <xdr:col>22</xdr:col>
      <xdr:colOff>0</xdr:colOff>
      <xdr:row>19</xdr:row>
      <xdr:rowOff>0</xdr:rowOff>
    </xdr:from>
    <xdr:to>
      <xdr:col>24</xdr:col>
      <xdr:colOff>0</xdr:colOff>
      <xdr:row>20</xdr:row>
      <xdr:rowOff>76200</xdr:rowOff>
    </xdr:to>
    <xdr:pic>
      <xdr:nvPicPr>
        <xdr:cNvPr id="23" name="Label7" hidden="1"/>
        <xdr:cNvPicPr preferRelativeResize="1">
          <a:picLocks noChangeAspect="1"/>
        </xdr:cNvPicPr>
      </xdr:nvPicPr>
      <xdr:blipFill>
        <a:blip r:embed="rId19"/>
        <a:stretch>
          <a:fillRect/>
        </a:stretch>
      </xdr:blipFill>
      <xdr:spPr>
        <a:xfrm>
          <a:off x="11668125" y="3257550"/>
          <a:ext cx="1028700" cy="247650"/>
        </a:xfrm>
        <a:prstGeom prst="rect">
          <a:avLst/>
        </a:prstGeom>
        <a:noFill/>
        <a:ln w="9525" cmpd="sng">
          <a:noFill/>
        </a:ln>
      </xdr:spPr>
    </xdr:pic>
    <xdr:clientData/>
  </xdr:twoCellAnchor>
  <xdr:twoCellAnchor editAs="oneCell">
    <xdr:from>
      <xdr:col>22</xdr:col>
      <xdr:colOff>0</xdr:colOff>
      <xdr:row>9</xdr:row>
      <xdr:rowOff>0</xdr:rowOff>
    </xdr:from>
    <xdr:to>
      <xdr:col>24</xdr:col>
      <xdr:colOff>0</xdr:colOff>
      <xdr:row>10</xdr:row>
      <xdr:rowOff>76200</xdr:rowOff>
    </xdr:to>
    <xdr:pic>
      <xdr:nvPicPr>
        <xdr:cNvPr id="24" name="Label8" hidden="1"/>
        <xdr:cNvPicPr preferRelativeResize="1">
          <a:picLocks noChangeAspect="1"/>
        </xdr:cNvPicPr>
      </xdr:nvPicPr>
      <xdr:blipFill>
        <a:blip r:embed="rId20"/>
        <a:stretch>
          <a:fillRect/>
        </a:stretch>
      </xdr:blipFill>
      <xdr:spPr>
        <a:xfrm>
          <a:off x="11668125" y="1543050"/>
          <a:ext cx="1028700" cy="247650"/>
        </a:xfrm>
        <a:prstGeom prst="rect">
          <a:avLst/>
        </a:prstGeom>
        <a:noFill/>
        <a:ln w="9525" cmpd="sng">
          <a:noFill/>
        </a:ln>
      </xdr:spPr>
    </xdr:pic>
    <xdr:clientData/>
  </xdr:twoCellAnchor>
  <xdr:twoCellAnchor editAs="oneCell">
    <xdr:from>
      <xdr:col>24</xdr:col>
      <xdr:colOff>0</xdr:colOff>
      <xdr:row>9</xdr:row>
      <xdr:rowOff>0</xdr:rowOff>
    </xdr:from>
    <xdr:to>
      <xdr:col>26</xdr:col>
      <xdr:colOff>238125</xdr:colOff>
      <xdr:row>10</xdr:row>
      <xdr:rowOff>76200</xdr:rowOff>
    </xdr:to>
    <xdr:pic>
      <xdr:nvPicPr>
        <xdr:cNvPr id="25" name="ComboBox7" hidden="1"/>
        <xdr:cNvPicPr preferRelativeResize="1">
          <a:picLocks noChangeAspect="1"/>
        </xdr:cNvPicPr>
      </xdr:nvPicPr>
      <xdr:blipFill>
        <a:blip r:embed="rId11"/>
        <a:stretch>
          <a:fillRect/>
        </a:stretch>
      </xdr:blipFill>
      <xdr:spPr>
        <a:xfrm>
          <a:off x="12696825" y="1543050"/>
          <a:ext cx="1200150" cy="247650"/>
        </a:xfrm>
        <a:prstGeom prst="rect">
          <a:avLst/>
        </a:prstGeom>
        <a:noFill/>
        <a:ln w="9525" cmpd="sng">
          <a:noFill/>
        </a:ln>
      </xdr:spPr>
    </xdr:pic>
    <xdr:clientData/>
  </xdr:twoCellAnchor>
  <xdr:twoCellAnchor editAs="oneCell">
    <xdr:from>
      <xdr:col>7</xdr:col>
      <xdr:colOff>0</xdr:colOff>
      <xdr:row>22</xdr:row>
      <xdr:rowOff>19050</xdr:rowOff>
    </xdr:from>
    <xdr:to>
      <xdr:col>7</xdr:col>
      <xdr:colOff>152400</xdr:colOff>
      <xdr:row>22</xdr:row>
      <xdr:rowOff>171450</xdr:rowOff>
    </xdr:to>
    <xdr:pic>
      <xdr:nvPicPr>
        <xdr:cNvPr id="26" name="CheckBox1" hidden="1"/>
        <xdr:cNvPicPr preferRelativeResize="1">
          <a:picLocks noChangeAspect="1"/>
        </xdr:cNvPicPr>
      </xdr:nvPicPr>
      <xdr:blipFill>
        <a:blip r:embed="rId21"/>
        <a:stretch>
          <a:fillRect/>
        </a:stretch>
      </xdr:blipFill>
      <xdr:spPr>
        <a:xfrm>
          <a:off x="3457575" y="3790950"/>
          <a:ext cx="152400" cy="152400"/>
        </a:xfrm>
        <a:prstGeom prst="rect">
          <a:avLst/>
        </a:prstGeom>
        <a:noFill/>
        <a:ln w="1" cmpd="sng">
          <a:noFill/>
        </a:ln>
      </xdr:spPr>
    </xdr:pic>
    <xdr:clientData/>
  </xdr:twoCellAnchor>
  <xdr:twoCellAnchor editAs="oneCell">
    <xdr:from>
      <xdr:col>7</xdr:col>
      <xdr:colOff>0</xdr:colOff>
      <xdr:row>23</xdr:row>
      <xdr:rowOff>9525</xdr:rowOff>
    </xdr:from>
    <xdr:to>
      <xdr:col>7</xdr:col>
      <xdr:colOff>152400</xdr:colOff>
      <xdr:row>23</xdr:row>
      <xdr:rowOff>161925</xdr:rowOff>
    </xdr:to>
    <xdr:pic>
      <xdr:nvPicPr>
        <xdr:cNvPr id="27" name="CheckBox2" hidden="1"/>
        <xdr:cNvPicPr preferRelativeResize="1">
          <a:picLocks noChangeAspect="1"/>
        </xdr:cNvPicPr>
      </xdr:nvPicPr>
      <xdr:blipFill>
        <a:blip r:embed="rId21"/>
        <a:stretch>
          <a:fillRect/>
        </a:stretch>
      </xdr:blipFill>
      <xdr:spPr>
        <a:xfrm>
          <a:off x="3457575" y="3952875"/>
          <a:ext cx="152400" cy="152400"/>
        </a:xfrm>
        <a:prstGeom prst="rect">
          <a:avLst/>
        </a:prstGeom>
        <a:noFill/>
        <a:ln w="1" cmpd="sng">
          <a:noFill/>
        </a:ln>
      </xdr:spPr>
    </xdr:pic>
    <xdr:clientData/>
  </xdr:twoCellAnchor>
  <xdr:twoCellAnchor editAs="oneCell">
    <xdr:from>
      <xdr:col>7</xdr:col>
      <xdr:colOff>0</xdr:colOff>
      <xdr:row>24</xdr:row>
      <xdr:rowOff>19050</xdr:rowOff>
    </xdr:from>
    <xdr:to>
      <xdr:col>7</xdr:col>
      <xdr:colOff>152400</xdr:colOff>
      <xdr:row>24</xdr:row>
      <xdr:rowOff>171450</xdr:rowOff>
    </xdr:to>
    <xdr:pic>
      <xdr:nvPicPr>
        <xdr:cNvPr id="28" name="CheckBox3" hidden="1"/>
        <xdr:cNvPicPr preferRelativeResize="1">
          <a:picLocks noChangeAspect="1"/>
        </xdr:cNvPicPr>
      </xdr:nvPicPr>
      <xdr:blipFill>
        <a:blip r:embed="rId21"/>
        <a:stretch>
          <a:fillRect/>
        </a:stretch>
      </xdr:blipFill>
      <xdr:spPr>
        <a:xfrm>
          <a:off x="3457575" y="4133850"/>
          <a:ext cx="152400" cy="152400"/>
        </a:xfrm>
        <a:prstGeom prst="rect">
          <a:avLst/>
        </a:prstGeom>
        <a:noFill/>
        <a:ln w="1" cmpd="sng">
          <a:noFill/>
        </a:ln>
      </xdr:spPr>
    </xdr:pic>
    <xdr:clientData/>
  </xdr:twoCellAnchor>
  <xdr:twoCellAnchor editAs="oneCell">
    <xdr:from>
      <xdr:col>7</xdr:col>
      <xdr:colOff>0</xdr:colOff>
      <xdr:row>25</xdr:row>
      <xdr:rowOff>19050</xdr:rowOff>
    </xdr:from>
    <xdr:to>
      <xdr:col>7</xdr:col>
      <xdr:colOff>152400</xdr:colOff>
      <xdr:row>25</xdr:row>
      <xdr:rowOff>171450</xdr:rowOff>
    </xdr:to>
    <xdr:pic>
      <xdr:nvPicPr>
        <xdr:cNvPr id="29" name="CheckBox4" hidden="1"/>
        <xdr:cNvPicPr preferRelativeResize="1">
          <a:picLocks noChangeAspect="1"/>
        </xdr:cNvPicPr>
      </xdr:nvPicPr>
      <xdr:blipFill>
        <a:blip r:embed="rId21"/>
        <a:stretch>
          <a:fillRect/>
        </a:stretch>
      </xdr:blipFill>
      <xdr:spPr>
        <a:xfrm>
          <a:off x="3457575" y="4305300"/>
          <a:ext cx="152400" cy="152400"/>
        </a:xfrm>
        <a:prstGeom prst="rect">
          <a:avLst/>
        </a:prstGeom>
        <a:noFill/>
        <a:ln w="1" cmpd="sng">
          <a:noFill/>
        </a:ln>
      </xdr:spPr>
    </xdr:pic>
    <xdr:clientData/>
  </xdr:twoCellAnchor>
  <xdr:twoCellAnchor editAs="oneCell">
    <xdr:from>
      <xdr:col>7</xdr:col>
      <xdr:colOff>0</xdr:colOff>
      <xdr:row>26</xdr:row>
      <xdr:rowOff>9525</xdr:rowOff>
    </xdr:from>
    <xdr:to>
      <xdr:col>7</xdr:col>
      <xdr:colOff>152400</xdr:colOff>
      <xdr:row>26</xdr:row>
      <xdr:rowOff>161925</xdr:rowOff>
    </xdr:to>
    <xdr:pic>
      <xdr:nvPicPr>
        <xdr:cNvPr id="30" name="CheckBox5" hidden="1"/>
        <xdr:cNvPicPr preferRelativeResize="1">
          <a:picLocks noChangeAspect="1"/>
        </xdr:cNvPicPr>
      </xdr:nvPicPr>
      <xdr:blipFill>
        <a:blip r:embed="rId21"/>
        <a:stretch>
          <a:fillRect/>
        </a:stretch>
      </xdr:blipFill>
      <xdr:spPr>
        <a:xfrm>
          <a:off x="3457575" y="4467225"/>
          <a:ext cx="152400" cy="152400"/>
        </a:xfrm>
        <a:prstGeom prst="rect">
          <a:avLst/>
        </a:prstGeom>
        <a:noFill/>
        <a:ln w="1" cmpd="sng">
          <a:noFill/>
        </a:ln>
      </xdr:spPr>
    </xdr:pic>
    <xdr:clientData/>
  </xdr:twoCellAnchor>
  <xdr:twoCellAnchor editAs="oneCell">
    <xdr:from>
      <xdr:col>7</xdr:col>
      <xdr:colOff>0</xdr:colOff>
      <xdr:row>27</xdr:row>
      <xdr:rowOff>9525</xdr:rowOff>
    </xdr:from>
    <xdr:to>
      <xdr:col>7</xdr:col>
      <xdr:colOff>152400</xdr:colOff>
      <xdr:row>27</xdr:row>
      <xdr:rowOff>161925</xdr:rowOff>
    </xdr:to>
    <xdr:pic>
      <xdr:nvPicPr>
        <xdr:cNvPr id="31" name="CheckBox6" hidden="1"/>
        <xdr:cNvPicPr preferRelativeResize="1">
          <a:picLocks noChangeAspect="1"/>
        </xdr:cNvPicPr>
      </xdr:nvPicPr>
      <xdr:blipFill>
        <a:blip r:embed="rId21"/>
        <a:stretch>
          <a:fillRect/>
        </a:stretch>
      </xdr:blipFill>
      <xdr:spPr>
        <a:xfrm>
          <a:off x="3457575" y="4638675"/>
          <a:ext cx="152400" cy="1524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8</xdr:row>
      <xdr:rowOff>161925</xdr:rowOff>
    </xdr:from>
    <xdr:to>
      <xdr:col>7</xdr:col>
      <xdr:colOff>0</xdr:colOff>
      <xdr:row>10</xdr:row>
      <xdr:rowOff>114300</xdr:rowOff>
    </xdr:to>
    <xdr:pic>
      <xdr:nvPicPr>
        <xdr:cNvPr id="1" name="ComboBox1"/>
        <xdr:cNvPicPr preferRelativeResize="1">
          <a:picLocks noChangeAspect="1"/>
        </xdr:cNvPicPr>
      </xdr:nvPicPr>
      <xdr:blipFill>
        <a:blip r:embed="rId1"/>
        <a:stretch>
          <a:fillRect/>
        </a:stretch>
      </xdr:blipFill>
      <xdr:spPr>
        <a:xfrm>
          <a:off x="4962525" y="1571625"/>
          <a:ext cx="196215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9</xdr:row>
      <xdr:rowOff>0</xdr:rowOff>
    </xdr:from>
    <xdr:to>
      <xdr:col>7</xdr:col>
      <xdr:colOff>0</xdr:colOff>
      <xdr:row>25</xdr:row>
      <xdr:rowOff>0</xdr:rowOff>
    </xdr:to>
    <xdr:graphicFrame>
      <xdr:nvGraphicFramePr>
        <xdr:cNvPr id="1" name="Chart 2"/>
        <xdr:cNvGraphicFramePr/>
      </xdr:nvGraphicFramePr>
      <xdr:xfrm>
        <a:off x="0" y="1457325"/>
        <a:ext cx="4333875" cy="259080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25</xdr:row>
      <xdr:rowOff>0</xdr:rowOff>
    </xdr:from>
    <xdr:to>
      <xdr:col>7</xdr:col>
      <xdr:colOff>0</xdr:colOff>
      <xdr:row>41</xdr:row>
      <xdr:rowOff>0</xdr:rowOff>
    </xdr:to>
    <xdr:graphicFrame>
      <xdr:nvGraphicFramePr>
        <xdr:cNvPr id="2" name="Chart 4"/>
        <xdr:cNvGraphicFramePr/>
      </xdr:nvGraphicFramePr>
      <xdr:xfrm>
        <a:off x="0" y="4048125"/>
        <a:ext cx="4333875" cy="2590800"/>
      </xdr:xfrm>
      <a:graphic>
        <a:graphicData uri="http://schemas.openxmlformats.org/drawingml/2006/chart">
          <c:chart xmlns:c="http://schemas.openxmlformats.org/drawingml/2006/chart" r:id="rId2"/>
        </a:graphicData>
      </a:graphic>
    </xdr:graphicFrame>
    <xdr:clientData fLocksWithSheet="0"/>
  </xdr:twoCellAnchor>
  <xdr:twoCellAnchor>
    <xdr:from>
      <xdr:col>0</xdr:col>
      <xdr:colOff>0</xdr:colOff>
      <xdr:row>41</xdr:row>
      <xdr:rowOff>0</xdr:rowOff>
    </xdr:from>
    <xdr:to>
      <xdr:col>7</xdr:col>
      <xdr:colOff>0</xdr:colOff>
      <xdr:row>56</xdr:row>
      <xdr:rowOff>114300</xdr:rowOff>
    </xdr:to>
    <xdr:graphicFrame>
      <xdr:nvGraphicFramePr>
        <xdr:cNvPr id="3" name="Chart 5"/>
        <xdr:cNvGraphicFramePr/>
      </xdr:nvGraphicFramePr>
      <xdr:xfrm>
        <a:off x="0" y="6638925"/>
        <a:ext cx="4333875" cy="2543175"/>
      </xdr:xfrm>
      <a:graphic>
        <a:graphicData uri="http://schemas.openxmlformats.org/drawingml/2006/chart">
          <c:chart xmlns:c="http://schemas.openxmlformats.org/drawingml/2006/chart" r:id="rId3"/>
        </a:graphicData>
      </a:graphic>
    </xdr:graphicFrame>
    <xdr:clientData fLocksWithSheet="0"/>
  </xdr:twoCellAnchor>
  <xdr:twoCellAnchor>
    <xdr:from>
      <xdr:col>0</xdr:col>
      <xdr:colOff>0</xdr:colOff>
      <xdr:row>82</xdr:row>
      <xdr:rowOff>0</xdr:rowOff>
    </xdr:from>
    <xdr:to>
      <xdr:col>7</xdr:col>
      <xdr:colOff>0</xdr:colOff>
      <xdr:row>98</xdr:row>
      <xdr:rowOff>0</xdr:rowOff>
    </xdr:to>
    <xdr:graphicFrame>
      <xdr:nvGraphicFramePr>
        <xdr:cNvPr id="4" name="Chart 7"/>
        <xdr:cNvGraphicFramePr/>
      </xdr:nvGraphicFramePr>
      <xdr:xfrm>
        <a:off x="0" y="13287375"/>
        <a:ext cx="4333875" cy="2600325"/>
      </xdr:xfrm>
      <a:graphic>
        <a:graphicData uri="http://schemas.openxmlformats.org/drawingml/2006/chart">
          <c:chart xmlns:c="http://schemas.openxmlformats.org/drawingml/2006/chart" r:id="rId4"/>
        </a:graphicData>
      </a:graphic>
    </xdr:graphicFrame>
    <xdr:clientData fLocksWithSheet="0"/>
  </xdr:twoCellAnchor>
  <xdr:twoCellAnchor>
    <xdr:from>
      <xdr:col>0</xdr:col>
      <xdr:colOff>0</xdr:colOff>
      <xdr:row>98</xdr:row>
      <xdr:rowOff>0</xdr:rowOff>
    </xdr:from>
    <xdr:to>
      <xdr:col>7</xdr:col>
      <xdr:colOff>0</xdr:colOff>
      <xdr:row>113</xdr:row>
      <xdr:rowOff>133350</xdr:rowOff>
    </xdr:to>
    <xdr:graphicFrame>
      <xdr:nvGraphicFramePr>
        <xdr:cNvPr id="5" name="Chart 8"/>
        <xdr:cNvGraphicFramePr/>
      </xdr:nvGraphicFramePr>
      <xdr:xfrm>
        <a:off x="0" y="15887700"/>
        <a:ext cx="4333875" cy="2562225"/>
      </xdr:xfrm>
      <a:graphic>
        <a:graphicData uri="http://schemas.openxmlformats.org/drawingml/2006/chart">
          <c:chart xmlns:c="http://schemas.openxmlformats.org/drawingml/2006/chart" r:id="rId5"/>
        </a:graphicData>
      </a:graphic>
    </xdr:graphicFrame>
    <xdr:clientData fLocksWithSheet="0"/>
  </xdr:twoCellAnchor>
  <xdr:twoCellAnchor>
    <xdr:from>
      <xdr:col>0</xdr:col>
      <xdr:colOff>0</xdr:colOff>
      <xdr:row>66</xdr:row>
      <xdr:rowOff>0</xdr:rowOff>
    </xdr:from>
    <xdr:to>
      <xdr:col>7</xdr:col>
      <xdr:colOff>0</xdr:colOff>
      <xdr:row>82</xdr:row>
      <xdr:rowOff>0</xdr:rowOff>
    </xdr:to>
    <xdr:graphicFrame>
      <xdr:nvGraphicFramePr>
        <xdr:cNvPr id="6" name="Chart 11"/>
        <xdr:cNvGraphicFramePr/>
      </xdr:nvGraphicFramePr>
      <xdr:xfrm>
        <a:off x="0" y="10696575"/>
        <a:ext cx="4333875" cy="2590800"/>
      </xdr:xfrm>
      <a:graphic>
        <a:graphicData uri="http://schemas.openxmlformats.org/drawingml/2006/chart">
          <c:chart xmlns:c="http://schemas.openxmlformats.org/drawingml/2006/chart" r:id="rId6"/>
        </a:graphicData>
      </a:graphic>
    </xdr:graphicFrame>
    <xdr:clientData fLocksWithSheet="0"/>
  </xdr:twoCellAnchor>
  <xdr:twoCellAnchor>
    <xdr:from>
      <xdr:col>0</xdr:col>
      <xdr:colOff>0</xdr:colOff>
      <xdr:row>155</xdr:row>
      <xdr:rowOff>0</xdr:rowOff>
    </xdr:from>
    <xdr:to>
      <xdr:col>7</xdr:col>
      <xdr:colOff>0</xdr:colOff>
      <xdr:row>170</xdr:row>
      <xdr:rowOff>142875</xdr:rowOff>
    </xdr:to>
    <xdr:graphicFrame>
      <xdr:nvGraphicFramePr>
        <xdr:cNvPr id="7" name="Chart 14"/>
        <xdr:cNvGraphicFramePr/>
      </xdr:nvGraphicFramePr>
      <xdr:xfrm>
        <a:off x="0" y="25126950"/>
        <a:ext cx="4333875" cy="2571750"/>
      </xdr:xfrm>
      <a:graphic>
        <a:graphicData uri="http://schemas.openxmlformats.org/drawingml/2006/chart">
          <c:chart xmlns:c="http://schemas.openxmlformats.org/drawingml/2006/chart" r:id="rId7"/>
        </a:graphicData>
      </a:graphic>
    </xdr:graphicFrame>
    <xdr:clientData fLocksWithSheet="0"/>
  </xdr:twoCellAnchor>
  <xdr:twoCellAnchor>
    <xdr:from>
      <xdr:col>0</xdr:col>
      <xdr:colOff>0</xdr:colOff>
      <xdr:row>123</xdr:row>
      <xdr:rowOff>0</xdr:rowOff>
    </xdr:from>
    <xdr:to>
      <xdr:col>7</xdr:col>
      <xdr:colOff>0</xdr:colOff>
      <xdr:row>139</xdr:row>
      <xdr:rowOff>0</xdr:rowOff>
    </xdr:to>
    <xdr:graphicFrame>
      <xdr:nvGraphicFramePr>
        <xdr:cNvPr id="8" name="Chart 15"/>
        <xdr:cNvGraphicFramePr/>
      </xdr:nvGraphicFramePr>
      <xdr:xfrm>
        <a:off x="0" y="19945350"/>
        <a:ext cx="4333875" cy="2590800"/>
      </xdr:xfrm>
      <a:graphic>
        <a:graphicData uri="http://schemas.openxmlformats.org/drawingml/2006/chart">
          <c:chart xmlns:c="http://schemas.openxmlformats.org/drawingml/2006/chart" r:id="rId8"/>
        </a:graphicData>
      </a:graphic>
    </xdr:graphicFrame>
    <xdr:clientData fLocksWithSheet="0"/>
  </xdr:twoCellAnchor>
  <xdr:twoCellAnchor>
    <xdr:from>
      <xdr:col>0</xdr:col>
      <xdr:colOff>0</xdr:colOff>
      <xdr:row>139</xdr:row>
      <xdr:rowOff>0</xdr:rowOff>
    </xdr:from>
    <xdr:to>
      <xdr:col>7</xdr:col>
      <xdr:colOff>0</xdr:colOff>
      <xdr:row>155</xdr:row>
      <xdr:rowOff>0</xdr:rowOff>
    </xdr:to>
    <xdr:graphicFrame>
      <xdr:nvGraphicFramePr>
        <xdr:cNvPr id="9" name="Chart 16"/>
        <xdr:cNvGraphicFramePr/>
      </xdr:nvGraphicFramePr>
      <xdr:xfrm>
        <a:off x="0" y="22536150"/>
        <a:ext cx="4333875" cy="2590800"/>
      </xdr:xfrm>
      <a:graphic>
        <a:graphicData uri="http://schemas.openxmlformats.org/drawingml/2006/chart">
          <c:chart xmlns:c="http://schemas.openxmlformats.org/drawingml/2006/chart" r:id="rId9"/>
        </a:graphicData>
      </a:graphic>
    </xdr:graphicFrame>
    <xdr:clientData fLock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0.171</cdr:x>
      <cdr:y>0.949</cdr:y>
    </cdr:from>
    <cdr:to>
      <cdr:x>0.196</cdr:x>
      <cdr:y>0.97325</cdr:y>
    </cdr:to>
    <cdr:sp>
      <cdr:nvSpPr>
        <cdr:cNvPr id="1" name="Text 17"/>
        <cdr:cNvSpPr txBox="1">
          <a:spLocks noChangeArrowheads="1"/>
        </cdr:cNvSpPr>
      </cdr:nvSpPr>
      <cdr:spPr>
        <a:xfrm>
          <a:off x="1619250" y="6419850"/>
          <a:ext cx="238125" cy="161925"/>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#30</a:t>
          </a:r>
        </a:p>
      </cdr:txBody>
    </cdr:sp>
  </cdr:relSizeAnchor>
  <cdr:relSizeAnchor xmlns:cdr="http://schemas.openxmlformats.org/drawingml/2006/chartDrawing">
    <cdr:from>
      <cdr:x>0.209</cdr:x>
      <cdr:y>0.94825</cdr:y>
    </cdr:from>
    <cdr:to>
      <cdr:x>0.23775</cdr:x>
      <cdr:y>0.96475</cdr:y>
    </cdr:to>
    <cdr:sp>
      <cdr:nvSpPr>
        <cdr:cNvPr id="2" name="Text 18"/>
        <cdr:cNvSpPr txBox="1">
          <a:spLocks noChangeArrowheads="1"/>
        </cdr:cNvSpPr>
      </cdr:nvSpPr>
      <cdr:spPr>
        <a:xfrm>
          <a:off x="1981200" y="6419850"/>
          <a:ext cx="276225" cy="11430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#16</a:t>
          </a:r>
        </a:p>
      </cdr:txBody>
    </cdr:sp>
  </cdr:relSizeAnchor>
  <cdr:relSizeAnchor xmlns:cdr="http://schemas.openxmlformats.org/drawingml/2006/chartDrawing">
    <cdr:from>
      <cdr:x>0.273</cdr:x>
      <cdr:y>0.9485</cdr:y>
    </cdr:from>
    <cdr:to>
      <cdr:x>0.3</cdr:x>
      <cdr:y>0.97075</cdr:y>
    </cdr:to>
    <cdr:sp>
      <cdr:nvSpPr>
        <cdr:cNvPr id="3" name="Text 19"/>
        <cdr:cNvSpPr txBox="1">
          <a:spLocks noChangeArrowheads="1"/>
        </cdr:cNvSpPr>
      </cdr:nvSpPr>
      <cdr:spPr>
        <a:xfrm>
          <a:off x="2590800" y="6419850"/>
          <a:ext cx="257175" cy="15240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#8</a:t>
          </a:r>
        </a:p>
      </cdr:txBody>
    </cdr:sp>
  </cdr:relSizeAnchor>
  <cdr:relSizeAnchor xmlns:cdr="http://schemas.openxmlformats.org/drawingml/2006/chartDrawing">
    <cdr:from>
      <cdr:x>0.08925</cdr:x>
      <cdr:y>0.94825</cdr:y>
    </cdr:from>
    <cdr:to>
      <cdr:x>0.1245</cdr:x>
      <cdr:y>0.96475</cdr:y>
    </cdr:to>
    <cdr:sp>
      <cdr:nvSpPr>
        <cdr:cNvPr id="4" name="Text 22"/>
        <cdr:cNvSpPr txBox="1">
          <a:spLocks noChangeArrowheads="1"/>
        </cdr:cNvSpPr>
      </cdr:nvSpPr>
      <cdr:spPr>
        <a:xfrm>
          <a:off x="847725" y="6419850"/>
          <a:ext cx="333375" cy="11430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#200</a:t>
          </a:r>
        </a:p>
      </cdr:txBody>
    </cdr:sp>
  </cdr:relSizeAnchor>
  <cdr:relSizeAnchor xmlns:cdr="http://schemas.openxmlformats.org/drawingml/2006/chartDrawing">
    <cdr:from>
      <cdr:x>0.144</cdr:x>
      <cdr:y>0.94825</cdr:y>
    </cdr:from>
    <cdr:to>
      <cdr:x>0.17175</cdr:x>
      <cdr:y>0.96475</cdr:y>
    </cdr:to>
    <cdr:sp>
      <cdr:nvSpPr>
        <cdr:cNvPr id="5" name="Text 23"/>
        <cdr:cNvSpPr txBox="1">
          <a:spLocks noChangeArrowheads="1"/>
        </cdr:cNvSpPr>
      </cdr:nvSpPr>
      <cdr:spPr>
        <a:xfrm>
          <a:off x="1362075" y="6419850"/>
          <a:ext cx="266700" cy="11430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#50</a:t>
          </a:r>
        </a:p>
      </cdr:txBody>
    </cdr:sp>
  </cdr:relSizeAnchor>
  <cdr:relSizeAnchor xmlns:cdr="http://schemas.openxmlformats.org/drawingml/2006/chartDrawing">
    <cdr:from>
      <cdr:x>0.716</cdr:x>
      <cdr:y>0.94725</cdr:y>
    </cdr:from>
    <cdr:to>
      <cdr:x>0.75125</cdr:x>
      <cdr:y>0.9615</cdr:y>
    </cdr:to>
    <cdr:sp>
      <cdr:nvSpPr>
        <cdr:cNvPr id="6" name="Text 25"/>
        <cdr:cNvSpPr txBox="1">
          <a:spLocks noChangeArrowheads="1"/>
        </cdr:cNvSpPr>
      </cdr:nvSpPr>
      <cdr:spPr>
        <a:xfrm>
          <a:off x="6800850" y="6410325"/>
          <a:ext cx="333375" cy="9525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1</a:t>
          </a:r>
        </a:p>
      </cdr:txBody>
    </cdr:sp>
  </cdr:relSizeAnchor>
  <cdr:relSizeAnchor xmlns:cdr="http://schemas.openxmlformats.org/drawingml/2006/chartDrawing">
    <cdr:from>
      <cdr:x>0.85625</cdr:x>
      <cdr:y>0.94725</cdr:y>
    </cdr:from>
    <cdr:to>
      <cdr:x>0.8925</cdr:x>
      <cdr:y>0.96425</cdr:y>
    </cdr:to>
    <cdr:sp>
      <cdr:nvSpPr>
        <cdr:cNvPr id="7" name="Text 26"/>
        <cdr:cNvSpPr txBox="1">
          <a:spLocks noChangeArrowheads="1"/>
        </cdr:cNvSpPr>
      </cdr:nvSpPr>
      <cdr:spPr>
        <a:xfrm>
          <a:off x="8134350" y="6410325"/>
          <a:ext cx="342900" cy="11430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1 1/2</a:t>
          </a:r>
        </a:p>
      </cdr:txBody>
    </cdr:sp>
  </cdr:relSizeAnchor>
  <cdr:relSizeAnchor xmlns:cdr="http://schemas.openxmlformats.org/drawingml/2006/chartDrawing">
    <cdr:from>
      <cdr:x>0.9695</cdr:x>
      <cdr:y>0.94725</cdr:y>
    </cdr:from>
    <cdr:to>
      <cdr:x>0.9995</cdr:x>
      <cdr:y>0.97325</cdr:y>
    </cdr:to>
    <cdr:sp>
      <cdr:nvSpPr>
        <cdr:cNvPr id="8" name="Text 27"/>
        <cdr:cNvSpPr txBox="1">
          <a:spLocks noChangeArrowheads="1"/>
        </cdr:cNvSpPr>
      </cdr:nvSpPr>
      <cdr:spPr>
        <a:xfrm>
          <a:off x="9210675" y="6410325"/>
          <a:ext cx="285750" cy="17145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2</a:t>
          </a:r>
        </a:p>
      </cdr:txBody>
    </cdr:sp>
  </cdr:relSizeAnchor>
  <cdr:relSizeAnchor xmlns:cdr="http://schemas.openxmlformats.org/drawingml/2006/chartDrawing">
    <cdr:from>
      <cdr:x>0.63525</cdr:x>
      <cdr:y>0.9465</cdr:y>
    </cdr:from>
    <cdr:to>
      <cdr:x>0.6715</cdr:x>
      <cdr:y>0.9705</cdr:y>
    </cdr:to>
    <cdr:sp>
      <cdr:nvSpPr>
        <cdr:cNvPr id="9" name="Text 28"/>
        <cdr:cNvSpPr txBox="1">
          <a:spLocks noChangeArrowheads="1"/>
        </cdr:cNvSpPr>
      </cdr:nvSpPr>
      <cdr:spPr>
        <a:xfrm>
          <a:off x="6029325" y="6400800"/>
          <a:ext cx="342900" cy="161925"/>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3/4</a:t>
          </a:r>
        </a:p>
      </cdr:txBody>
    </cdr:sp>
  </cdr:relSizeAnchor>
  <cdr:relSizeAnchor xmlns:cdr="http://schemas.openxmlformats.org/drawingml/2006/chartDrawing">
    <cdr:from>
      <cdr:x>0.533</cdr:x>
      <cdr:y>0.94775</cdr:y>
    </cdr:from>
    <cdr:to>
      <cdr:x>0.56925</cdr:x>
      <cdr:y>0.9705</cdr:y>
    </cdr:to>
    <cdr:sp>
      <cdr:nvSpPr>
        <cdr:cNvPr id="10" name="Text 29"/>
        <cdr:cNvSpPr txBox="1">
          <a:spLocks noChangeArrowheads="1"/>
        </cdr:cNvSpPr>
      </cdr:nvSpPr>
      <cdr:spPr>
        <a:xfrm>
          <a:off x="5057775" y="6410325"/>
          <a:ext cx="342900" cy="15240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1/2</a:t>
          </a:r>
        </a:p>
      </cdr:txBody>
    </cdr:sp>
  </cdr:relSizeAnchor>
  <cdr:relSizeAnchor xmlns:cdr="http://schemas.openxmlformats.org/drawingml/2006/chartDrawing">
    <cdr:from>
      <cdr:x>0.47725</cdr:x>
      <cdr:y>0.94775</cdr:y>
    </cdr:from>
    <cdr:to>
      <cdr:x>0.5135</cdr:x>
      <cdr:y>0.9705</cdr:y>
    </cdr:to>
    <cdr:sp>
      <cdr:nvSpPr>
        <cdr:cNvPr id="11" name="Text 30"/>
        <cdr:cNvSpPr txBox="1">
          <a:spLocks noChangeArrowheads="1"/>
        </cdr:cNvSpPr>
      </cdr:nvSpPr>
      <cdr:spPr>
        <a:xfrm>
          <a:off x="4533900" y="6410325"/>
          <a:ext cx="342900" cy="15240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3/8</a:t>
          </a:r>
        </a:p>
      </cdr:txBody>
    </cdr:sp>
  </cdr:relSizeAnchor>
  <cdr:relSizeAnchor xmlns:cdr="http://schemas.openxmlformats.org/drawingml/2006/chartDrawing">
    <cdr:from>
      <cdr:x>0.3595</cdr:x>
      <cdr:y>0.9465</cdr:y>
    </cdr:from>
    <cdr:to>
      <cdr:x>0.39575</cdr:x>
      <cdr:y>0.965</cdr:y>
    </cdr:to>
    <cdr:sp>
      <cdr:nvSpPr>
        <cdr:cNvPr id="12" name="Text 31"/>
        <cdr:cNvSpPr txBox="1">
          <a:spLocks noChangeArrowheads="1"/>
        </cdr:cNvSpPr>
      </cdr:nvSpPr>
      <cdr:spPr>
        <a:xfrm>
          <a:off x="3409950" y="6400800"/>
          <a:ext cx="342900" cy="123825"/>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#4</a:t>
          </a:r>
        </a:p>
      </cdr:txBody>
    </cdr:sp>
  </cdr:relSizeAnchor>
  <cdr:relSizeAnchor xmlns:cdr="http://schemas.openxmlformats.org/drawingml/2006/chartDrawing">
    <cdr:from>
      <cdr:x>0.11425</cdr:x>
      <cdr:y>0.94825</cdr:y>
    </cdr:from>
    <cdr:to>
      <cdr:x>0.1515</cdr:x>
      <cdr:y>0.96475</cdr:y>
    </cdr:to>
    <cdr:sp>
      <cdr:nvSpPr>
        <cdr:cNvPr id="13" name="Text 22"/>
        <cdr:cNvSpPr txBox="1">
          <a:spLocks noChangeArrowheads="1"/>
        </cdr:cNvSpPr>
      </cdr:nvSpPr>
      <cdr:spPr>
        <a:xfrm>
          <a:off x="1085850" y="6419850"/>
          <a:ext cx="352425" cy="11430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05950" cy="6772275"/>
    <xdr:graphicFrame>
      <xdr:nvGraphicFramePr>
        <xdr:cNvPr id="1" name="Shape 1025"/>
        <xdr:cNvGraphicFramePr/>
      </xdr:nvGraphicFramePr>
      <xdr:xfrm>
        <a:off x="0" y="0"/>
        <a:ext cx="9505950" cy="6772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0.17025</cdr:x>
      <cdr:y>0.95175</cdr:y>
    </cdr:from>
    <cdr:to>
      <cdr:x>0.19625</cdr:x>
      <cdr:y>0.975</cdr:y>
    </cdr:to>
    <cdr:sp>
      <cdr:nvSpPr>
        <cdr:cNvPr id="1" name="Text 17"/>
        <cdr:cNvSpPr txBox="1">
          <a:spLocks noChangeArrowheads="1"/>
        </cdr:cNvSpPr>
      </cdr:nvSpPr>
      <cdr:spPr>
        <a:xfrm>
          <a:off x="1609725" y="6438900"/>
          <a:ext cx="247650" cy="161925"/>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#30</a:t>
          </a:r>
        </a:p>
      </cdr:txBody>
    </cdr:sp>
  </cdr:relSizeAnchor>
  <cdr:relSizeAnchor xmlns:cdr="http://schemas.openxmlformats.org/drawingml/2006/chartDrawing">
    <cdr:from>
      <cdr:x>0.20925</cdr:x>
      <cdr:y>0.951</cdr:y>
    </cdr:from>
    <cdr:to>
      <cdr:x>0.238</cdr:x>
      <cdr:y>0.96625</cdr:y>
    </cdr:to>
    <cdr:sp>
      <cdr:nvSpPr>
        <cdr:cNvPr id="2" name="Text 18"/>
        <cdr:cNvSpPr txBox="1">
          <a:spLocks noChangeArrowheads="1"/>
        </cdr:cNvSpPr>
      </cdr:nvSpPr>
      <cdr:spPr>
        <a:xfrm>
          <a:off x="1981200" y="6438900"/>
          <a:ext cx="276225" cy="104775"/>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#16</a:t>
          </a:r>
        </a:p>
      </cdr:txBody>
    </cdr:sp>
  </cdr:relSizeAnchor>
  <cdr:relSizeAnchor xmlns:cdr="http://schemas.openxmlformats.org/drawingml/2006/chartDrawing">
    <cdr:from>
      <cdr:x>0.274</cdr:x>
      <cdr:y>0.94975</cdr:y>
    </cdr:from>
    <cdr:to>
      <cdr:x>0.301</cdr:x>
      <cdr:y>0.97175</cdr:y>
    </cdr:to>
    <cdr:sp>
      <cdr:nvSpPr>
        <cdr:cNvPr id="3" name="Text 19"/>
        <cdr:cNvSpPr txBox="1">
          <a:spLocks noChangeArrowheads="1"/>
        </cdr:cNvSpPr>
      </cdr:nvSpPr>
      <cdr:spPr>
        <a:xfrm>
          <a:off x="2600325" y="6429375"/>
          <a:ext cx="257175" cy="15240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#8</a:t>
          </a:r>
        </a:p>
      </cdr:txBody>
    </cdr:sp>
  </cdr:relSizeAnchor>
  <cdr:relSizeAnchor xmlns:cdr="http://schemas.openxmlformats.org/drawingml/2006/chartDrawing">
    <cdr:from>
      <cdr:x>0.0875</cdr:x>
      <cdr:y>0.951</cdr:y>
    </cdr:from>
    <cdr:to>
      <cdr:x>0.12375</cdr:x>
      <cdr:y>0.96625</cdr:y>
    </cdr:to>
    <cdr:sp>
      <cdr:nvSpPr>
        <cdr:cNvPr id="4" name="Text 22"/>
        <cdr:cNvSpPr txBox="1">
          <a:spLocks noChangeArrowheads="1"/>
        </cdr:cNvSpPr>
      </cdr:nvSpPr>
      <cdr:spPr>
        <a:xfrm>
          <a:off x="828675" y="6438900"/>
          <a:ext cx="342900" cy="104775"/>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#200</a:t>
          </a:r>
        </a:p>
      </cdr:txBody>
    </cdr:sp>
  </cdr:relSizeAnchor>
  <cdr:relSizeAnchor xmlns:cdr="http://schemas.openxmlformats.org/drawingml/2006/chartDrawing">
    <cdr:from>
      <cdr:x>0.14325</cdr:x>
      <cdr:y>0.951</cdr:y>
    </cdr:from>
    <cdr:to>
      <cdr:x>0.172</cdr:x>
      <cdr:y>0.96625</cdr:y>
    </cdr:to>
    <cdr:sp>
      <cdr:nvSpPr>
        <cdr:cNvPr id="5" name="Text 23"/>
        <cdr:cNvSpPr txBox="1">
          <a:spLocks noChangeArrowheads="1"/>
        </cdr:cNvSpPr>
      </cdr:nvSpPr>
      <cdr:spPr>
        <a:xfrm>
          <a:off x="1352550" y="6438900"/>
          <a:ext cx="276225" cy="104775"/>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#50</a:t>
          </a:r>
        </a:p>
      </cdr:txBody>
    </cdr:sp>
  </cdr:relSizeAnchor>
  <cdr:relSizeAnchor xmlns:cdr="http://schemas.openxmlformats.org/drawingml/2006/chartDrawing">
    <cdr:from>
      <cdr:x>0.71775</cdr:x>
      <cdr:y>0.9485</cdr:y>
    </cdr:from>
    <cdr:to>
      <cdr:x>0.753</cdr:x>
      <cdr:y>0.9625</cdr:y>
    </cdr:to>
    <cdr:sp>
      <cdr:nvSpPr>
        <cdr:cNvPr id="6" name="Text 25"/>
        <cdr:cNvSpPr txBox="1">
          <a:spLocks noChangeArrowheads="1"/>
        </cdr:cNvSpPr>
      </cdr:nvSpPr>
      <cdr:spPr>
        <a:xfrm>
          <a:off x="6819900" y="6419850"/>
          <a:ext cx="333375" cy="9525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1</a:t>
          </a:r>
        </a:p>
      </cdr:txBody>
    </cdr:sp>
  </cdr:relSizeAnchor>
  <cdr:relSizeAnchor xmlns:cdr="http://schemas.openxmlformats.org/drawingml/2006/chartDrawing">
    <cdr:from>
      <cdr:x>0.85775</cdr:x>
      <cdr:y>0.9485</cdr:y>
    </cdr:from>
    <cdr:to>
      <cdr:x>0.894</cdr:x>
      <cdr:y>0.96525</cdr:y>
    </cdr:to>
    <cdr:sp>
      <cdr:nvSpPr>
        <cdr:cNvPr id="7" name="Text 26"/>
        <cdr:cNvSpPr txBox="1">
          <a:spLocks noChangeArrowheads="1"/>
        </cdr:cNvSpPr>
      </cdr:nvSpPr>
      <cdr:spPr>
        <a:xfrm>
          <a:off x="8153400" y="6419850"/>
          <a:ext cx="342900" cy="11430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1 1/2</a:t>
          </a:r>
        </a:p>
      </cdr:txBody>
    </cdr:sp>
  </cdr:relSizeAnchor>
  <cdr:relSizeAnchor xmlns:cdr="http://schemas.openxmlformats.org/drawingml/2006/chartDrawing">
    <cdr:from>
      <cdr:x>0.971</cdr:x>
      <cdr:y>0.9485</cdr:y>
    </cdr:from>
    <cdr:to>
      <cdr:x>0.9995</cdr:x>
      <cdr:y>0.9745</cdr:y>
    </cdr:to>
    <cdr:sp>
      <cdr:nvSpPr>
        <cdr:cNvPr id="8" name="Text 27"/>
        <cdr:cNvSpPr txBox="1">
          <a:spLocks noChangeArrowheads="1"/>
        </cdr:cNvSpPr>
      </cdr:nvSpPr>
      <cdr:spPr>
        <a:xfrm>
          <a:off x="9229725" y="6419850"/>
          <a:ext cx="266700" cy="17145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2</a:t>
          </a:r>
        </a:p>
      </cdr:txBody>
    </cdr:sp>
  </cdr:relSizeAnchor>
  <cdr:relSizeAnchor xmlns:cdr="http://schemas.openxmlformats.org/drawingml/2006/chartDrawing">
    <cdr:from>
      <cdr:x>0.638</cdr:x>
      <cdr:y>0.94775</cdr:y>
    </cdr:from>
    <cdr:to>
      <cdr:x>0.67325</cdr:x>
      <cdr:y>0.97175</cdr:y>
    </cdr:to>
    <cdr:sp>
      <cdr:nvSpPr>
        <cdr:cNvPr id="9" name="Text 28"/>
        <cdr:cNvSpPr txBox="1">
          <a:spLocks noChangeArrowheads="1"/>
        </cdr:cNvSpPr>
      </cdr:nvSpPr>
      <cdr:spPr>
        <a:xfrm>
          <a:off x="6057900" y="6410325"/>
          <a:ext cx="333375" cy="161925"/>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3/4</a:t>
          </a:r>
        </a:p>
      </cdr:txBody>
    </cdr:sp>
  </cdr:relSizeAnchor>
  <cdr:relSizeAnchor xmlns:cdr="http://schemas.openxmlformats.org/drawingml/2006/chartDrawing">
    <cdr:from>
      <cdr:x>0.535</cdr:x>
      <cdr:y>0.94925</cdr:y>
    </cdr:from>
    <cdr:to>
      <cdr:x>0.57025</cdr:x>
      <cdr:y>0.97175</cdr:y>
    </cdr:to>
    <cdr:sp>
      <cdr:nvSpPr>
        <cdr:cNvPr id="10" name="Text 29"/>
        <cdr:cNvSpPr txBox="1">
          <a:spLocks noChangeArrowheads="1"/>
        </cdr:cNvSpPr>
      </cdr:nvSpPr>
      <cdr:spPr>
        <a:xfrm>
          <a:off x="5076825" y="6419850"/>
          <a:ext cx="333375" cy="15240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1/2</a:t>
          </a:r>
        </a:p>
      </cdr:txBody>
    </cdr:sp>
  </cdr:relSizeAnchor>
  <cdr:relSizeAnchor xmlns:cdr="http://schemas.openxmlformats.org/drawingml/2006/chartDrawing">
    <cdr:from>
      <cdr:x>0.47925</cdr:x>
      <cdr:y>0.94925</cdr:y>
    </cdr:from>
    <cdr:to>
      <cdr:x>0.5145</cdr:x>
      <cdr:y>0.97175</cdr:y>
    </cdr:to>
    <cdr:sp>
      <cdr:nvSpPr>
        <cdr:cNvPr id="11" name="Text 30"/>
        <cdr:cNvSpPr txBox="1">
          <a:spLocks noChangeArrowheads="1"/>
        </cdr:cNvSpPr>
      </cdr:nvSpPr>
      <cdr:spPr>
        <a:xfrm>
          <a:off x="4552950" y="6419850"/>
          <a:ext cx="333375" cy="152400"/>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3/8</a:t>
          </a:r>
        </a:p>
      </cdr:txBody>
    </cdr:sp>
  </cdr:relSizeAnchor>
  <cdr:relSizeAnchor xmlns:cdr="http://schemas.openxmlformats.org/drawingml/2006/chartDrawing">
    <cdr:from>
      <cdr:x>0.36125</cdr:x>
      <cdr:y>0.94775</cdr:y>
    </cdr:from>
    <cdr:to>
      <cdr:x>0.3965</cdr:x>
      <cdr:y>0.966</cdr:y>
    </cdr:to>
    <cdr:sp>
      <cdr:nvSpPr>
        <cdr:cNvPr id="12" name="Text 31"/>
        <cdr:cNvSpPr txBox="1">
          <a:spLocks noChangeArrowheads="1"/>
        </cdr:cNvSpPr>
      </cdr:nvSpPr>
      <cdr:spPr>
        <a:xfrm>
          <a:off x="3429000" y="6410325"/>
          <a:ext cx="333375" cy="123825"/>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#4</a:t>
          </a:r>
        </a:p>
      </cdr:txBody>
    </cdr:sp>
  </cdr:relSizeAnchor>
  <cdr:relSizeAnchor xmlns:cdr="http://schemas.openxmlformats.org/drawingml/2006/chartDrawing">
    <cdr:from>
      <cdr:x>0.1145</cdr:x>
      <cdr:y>0.951</cdr:y>
    </cdr:from>
    <cdr:to>
      <cdr:x>0.1515</cdr:x>
      <cdr:y>0.96625</cdr:y>
    </cdr:to>
    <cdr:sp>
      <cdr:nvSpPr>
        <cdr:cNvPr id="13" name="Text 22"/>
        <cdr:cNvSpPr txBox="1">
          <a:spLocks noChangeArrowheads="1"/>
        </cdr:cNvSpPr>
      </cdr:nvSpPr>
      <cdr:spPr>
        <a:xfrm>
          <a:off x="1085850" y="6438900"/>
          <a:ext cx="352425" cy="104775"/>
        </a:xfrm>
        <a:prstGeom prst="rect">
          <a:avLst/>
        </a:prstGeom>
        <a:noFill/>
        <a:ln w="1" cmpd="sng">
          <a:noFill/>
        </a:ln>
      </cdr:spPr>
      <cdr:txBody>
        <a:bodyPr vertOverflow="clip" wrap="square" lIns="27432" tIns="18288" rIns="27432" bIns="0"/>
        <a:p>
          <a:pPr algn="ctr">
            <a:defRPr/>
          </a:pPr>
          <a:r>
            <a:rPr lang="en-US" cap="none" sz="600" b="0" i="0" u="none" baseline="0">
              <a:solidFill>
                <a:srgbClr val="000000"/>
              </a:solidFill>
            </a:rPr>
            <a:t>#100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05950" cy="6772275"/>
    <xdr:graphicFrame>
      <xdr:nvGraphicFramePr>
        <xdr:cNvPr id="1" name="Shape 1025"/>
        <xdr:cNvGraphicFramePr/>
      </xdr:nvGraphicFramePr>
      <xdr:xfrm>
        <a:off x="0" y="0"/>
        <a:ext cx="9505950" cy="6772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11</xdr:row>
      <xdr:rowOff>171450</xdr:rowOff>
    </xdr:from>
    <xdr:to>
      <xdr:col>9</xdr:col>
      <xdr:colOff>0</xdr:colOff>
      <xdr:row>14</xdr:row>
      <xdr:rowOff>66675</xdr:rowOff>
    </xdr:to>
    <xdr:pic>
      <xdr:nvPicPr>
        <xdr:cNvPr id="1" name="ComboBox1"/>
        <xdr:cNvPicPr preferRelativeResize="1">
          <a:picLocks noChangeAspect="1"/>
        </xdr:cNvPicPr>
      </xdr:nvPicPr>
      <xdr:blipFill>
        <a:blip r:embed="rId1"/>
        <a:stretch>
          <a:fillRect/>
        </a:stretch>
      </xdr:blipFill>
      <xdr:spPr>
        <a:xfrm>
          <a:off x="4019550" y="2057400"/>
          <a:ext cx="87630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ransportation.ky.gov/Documents%20and%20Settings/MBlack/Desktop/Kentucky/Kentucky_SM_Materials/Committees/technical_committee/Applet/disciplines/STRIPING_Striping%20QCQA/STRI"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ransportation.ky.gov/Documents%20and%20Settings/bradp/Desktop/Kentucky/Kentucky_SM_Materials/Committees/technical_committee/Applet/disciplines/STRCONC_Structural%20Concrete%20QC-QA/Structural_QC-QA_Spreadsheet_BGP_0601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ransportation.ky.gov/Documents%20and%20Settings/MBlack/Desktop/CONCPVMT_ZLot_060508%20with%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ransportation.ky.gov/Documents%20and%20Settings/RMills2/Local%20Settings/Temporary%20Internet%20Files/OLK61/CONCPVMT_STRCONC_BGP_06032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ransportation.ky.gov/Documents%20and%20Settings/RMills2/Local%20Settings/Temporary%20Internet%20Files/OLK61/CONCPVMT%20Lot%20basis%204-7-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sheetName val="Details"/>
      <sheetName val="SM Mapping"/>
      <sheetName val="Template XXXXXXXXX"/>
      <sheetName val="Drop_Downs_and_Tabl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sheetName val="Details"/>
      <sheetName val="SM Mapping"/>
      <sheetName val="Template &quot;Conc Plastic Tests&quot;"/>
      <sheetName val="Template &quot;Conc Comp Strength&quot;"/>
      <sheetName val="Drop Downs and Tables"/>
    </sheetNames>
    <sheetDataSet>
      <sheetData sheetId="5">
        <row r="23">
          <cell r="A23" t="str">
            <v>YES</v>
          </cell>
        </row>
        <row r="24">
          <cell r="A24"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ader"/>
      <sheetName val="Project Items"/>
      <sheetName val="Start-Up"/>
      <sheetName val="Early_Break"/>
      <sheetName val="QC-QA_Acpt"/>
      <sheetName val="discipline"/>
      <sheetName val="t_smpl"/>
      <sheetName val="t_cont_smpl"/>
      <sheetName val="t_smpl_tst"/>
      <sheetName val="t_smpl_tstr"/>
      <sheetName val="t_tst_rslt_hdr"/>
      <sheetName val="t_tst_rslt_dtl"/>
      <sheetName val="t_rmks_dtl"/>
      <sheetName val="COCONCPLAS"/>
      <sheetName val="COCONCCOMP"/>
      <sheetName val="Drop_Downs_and_Tabl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eader"/>
      <sheetName val="Project Items"/>
      <sheetName val="Details"/>
      <sheetName val="SM Mapping"/>
      <sheetName val="Template &quot;Conc Plastic Tests&quot;"/>
      <sheetName val="Template &quot;Conc Comp Strength&quot;"/>
      <sheetName val="Drop_Downs_and_Tables"/>
    </sheetNames>
    <sheetDataSet>
      <sheetData sheetId="6">
        <row r="58">
          <cell r="A58" t="str">
            <v>CONCPVMT</v>
          </cell>
        </row>
        <row r="59">
          <cell r="A59" t="str">
            <v>STRCONC</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eader"/>
      <sheetName val="Early Break Row"/>
      <sheetName val="QC-QA Acpt Row"/>
      <sheetName val="Details"/>
      <sheetName val="SM Mapping"/>
      <sheetName val="COCONCPLAS"/>
      <sheetName val="COCONCCOMP"/>
      <sheetName val="Drop_Downs_and_Tables"/>
    </sheetNames>
    <sheetDataSet>
      <sheetData sheetId="7">
        <row r="26">
          <cell r="A26">
            <v>0.2</v>
          </cell>
        </row>
        <row r="27">
          <cell r="A27">
            <v>0.4</v>
          </cell>
        </row>
        <row r="49">
          <cell r="A49" t="str">
            <v>COMP</v>
          </cell>
        </row>
        <row r="50">
          <cell r="A50" t="str">
            <v>FAIL</v>
          </cell>
        </row>
        <row r="51">
          <cell r="A51" t="str">
            <v>FRFP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7.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1.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3.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4.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M127"/>
  <sheetViews>
    <sheetView showGridLines="0" tabSelected="1" zoomScale="85" zoomScaleNormal="85" zoomScalePageLayoutView="0" workbookViewId="0" topLeftCell="A1">
      <selection activeCell="A1" sqref="A1"/>
    </sheetView>
  </sheetViews>
  <sheetFormatPr defaultColWidth="9.140625" defaultRowHeight="12.75"/>
  <cols>
    <col min="1" max="1" width="7.28125" style="3" customWidth="1"/>
    <col min="2" max="2" width="8.140625" style="3" customWidth="1"/>
    <col min="3" max="7" width="7.28125" style="3" customWidth="1"/>
    <col min="8" max="8" width="8.421875" style="3" customWidth="1"/>
    <col min="9" max="9" width="7.28125" style="3" customWidth="1"/>
    <col min="10" max="11" width="9.7109375" style="3" customWidth="1"/>
    <col min="12" max="14" width="8.140625" style="3" customWidth="1"/>
    <col min="15" max="16" width="7.28125" style="3" customWidth="1"/>
    <col min="17" max="17" width="8.7109375" style="3" customWidth="1"/>
    <col min="18" max="20" width="7.7109375" style="3" customWidth="1"/>
    <col min="21" max="21" width="8.00390625" style="3" customWidth="1"/>
    <col min="22" max="22" width="9.140625" style="3" customWidth="1"/>
    <col min="23" max="24" width="7.7109375" style="3" customWidth="1"/>
    <col min="25" max="25" width="5.28125" style="3" customWidth="1"/>
    <col min="26" max="26" width="9.140625" style="3" customWidth="1"/>
    <col min="27" max="27" width="16.57421875" style="3" customWidth="1"/>
    <col min="28" max="28" width="16.00390625" style="3" customWidth="1"/>
    <col min="29" max="29" width="19.00390625" style="3" customWidth="1"/>
    <col min="30" max="30" width="14.7109375" style="3" customWidth="1"/>
    <col min="31" max="31" width="14.8515625" style="3" customWidth="1"/>
    <col min="32" max="16384" width="9.140625" style="3" customWidth="1"/>
  </cols>
  <sheetData>
    <row r="1" spans="1:21" s="9" customFormat="1" ht="13.5" thickBot="1">
      <c r="A1" s="1422"/>
      <c r="B1" s="73"/>
      <c r="C1" s="73"/>
      <c r="D1" s="73"/>
      <c r="E1" s="73"/>
      <c r="F1" s="73"/>
      <c r="G1" s="73"/>
      <c r="H1" s="73"/>
      <c r="I1" s="73"/>
      <c r="J1" s="73"/>
      <c r="K1" s="73"/>
      <c r="L1" s="73"/>
      <c r="M1" s="73"/>
      <c r="N1" s="73"/>
      <c r="O1" s="73"/>
      <c r="P1" s="73"/>
      <c r="Q1" s="73"/>
      <c r="R1" s="73"/>
      <c r="S1" s="73"/>
      <c r="T1" s="73"/>
      <c r="U1" s="73"/>
    </row>
    <row r="2" spans="1:23" ht="13.5" customHeight="1" thickTop="1">
      <c r="A2" s="74"/>
      <c r="B2" s="44"/>
      <c r="C2" s="44"/>
      <c r="D2" s="44"/>
      <c r="E2" s="44"/>
      <c r="F2" s="44"/>
      <c r="G2" s="44"/>
      <c r="H2" s="75"/>
      <c r="I2" s="44"/>
      <c r="J2" s="44"/>
      <c r="K2" s="44"/>
      <c r="L2" s="44"/>
      <c r="M2" s="45"/>
      <c r="N2" s="44"/>
      <c r="O2" s="75"/>
      <c r="P2" s="44"/>
      <c r="Q2" s="46"/>
      <c r="R2" s="44"/>
      <c r="S2" s="44"/>
      <c r="T2" s="44"/>
      <c r="U2" s="1390" t="s">
        <v>2557</v>
      </c>
      <c r="V2" s="2"/>
      <c r="W2" s="1"/>
    </row>
    <row r="3" spans="1:21" ht="13.5" customHeight="1">
      <c r="A3" s="47" t="s">
        <v>906</v>
      </c>
      <c r="B3" s="48"/>
      <c r="C3" s="48"/>
      <c r="D3" s="48"/>
      <c r="E3" s="48"/>
      <c r="F3" s="48"/>
      <c r="G3" s="48"/>
      <c r="H3" s="76"/>
      <c r="I3" s="48"/>
      <c r="J3" s="48"/>
      <c r="K3" s="48"/>
      <c r="L3" s="48"/>
      <c r="M3" s="48"/>
      <c r="N3" s="48"/>
      <c r="O3" s="48"/>
      <c r="P3" s="48"/>
      <c r="Q3" s="48"/>
      <c r="R3" s="48"/>
      <c r="S3" s="48"/>
      <c r="T3" s="48"/>
      <c r="U3" s="266" t="s">
        <v>2558</v>
      </c>
    </row>
    <row r="4" spans="1:21" ht="13.5" customHeight="1">
      <c r="A4" s="47" t="s">
        <v>907</v>
      </c>
      <c r="B4" s="48"/>
      <c r="C4" s="48"/>
      <c r="D4" s="48"/>
      <c r="E4" s="48"/>
      <c r="F4" s="48"/>
      <c r="G4" s="48"/>
      <c r="H4" s="76"/>
      <c r="I4" s="48"/>
      <c r="J4" s="48"/>
      <c r="K4" s="48"/>
      <c r="L4" s="48"/>
      <c r="M4" s="48"/>
      <c r="N4" s="48"/>
      <c r="O4" s="48"/>
      <c r="P4" s="48"/>
      <c r="Q4" s="48"/>
      <c r="R4" s="76"/>
      <c r="S4" s="76"/>
      <c r="T4" s="76"/>
      <c r="U4" s="1454" t="s">
        <v>2498</v>
      </c>
    </row>
    <row r="5" spans="1:23" ht="13.5" customHeight="1">
      <c r="A5" s="47" t="s">
        <v>908</v>
      </c>
      <c r="B5" s="48"/>
      <c r="C5" s="48"/>
      <c r="D5" s="48"/>
      <c r="E5" s="48"/>
      <c r="F5" s="48"/>
      <c r="G5" s="48"/>
      <c r="H5" s="76"/>
      <c r="I5" s="48"/>
      <c r="J5" s="48"/>
      <c r="K5" s="48"/>
      <c r="L5" s="48"/>
      <c r="M5" s="48"/>
      <c r="N5" s="48"/>
      <c r="O5" s="48"/>
      <c r="P5" s="48"/>
      <c r="Q5" s="48"/>
      <c r="R5" s="76"/>
      <c r="S5" s="76"/>
      <c r="T5" s="76"/>
      <c r="U5" s="88"/>
      <c r="W5" s="1461"/>
    </row>
    <row r="6" spans="1:27" ht="13.5" customHeight="1" thickBot="1">
      <c r="A6" s="77"/>
      <c r="B6" s="49"/>
      <c r="C6" s="49"/>
      <c r="D6" s="49"/>
      <c r="E6" s="49"/>
      <c r="F6" s="49"/>
      <c r="G6" s="49"/>
      <c r="H6" s="50"/>
      <c r="I6" s="49"/>
      <c r="J6" s="49"/>
      <c r="K6" s="49"/>
      <c r="L6" s="49"/>
      <c r="M6" s="49"/>
      <c r="N6" s="49"/>
      <c r="O6" s="49"/>
      <c r="P6" s="49"/>
      <c r="Q6" s="49"/>
      <c r="R6" s="78"/>
      <c r="S6" s="78"/>
      <c r="T6" s="78"/>
      <c r="U6" s="89"/>
      <c r="W6" s="1228"/>
      <c r="X6" s="1228"/>
      <c r="Y6" s="1228"/>
      <c r="Z6" s="1228"/>
      <c r="AA6" s="1228"/>
    </row>
    <row r="7" spans="1:27" ht="13.5" customHeight="1" thickTop="1">
      <c r="A7" s="732"/>
      <c r="B7" s="732"/>
      <c r="C7" s="732"/>
      <c r="D7" s="732"/>
      <c r="E7" s="52" t="s">
        <v>909</v>
      </c>
      <c r="F7" s="4"/>
      <c r="G7" s="4"/>
      <c r="H7" s="731"/>
      <c r="I7" s="4"/>
      <c r="J7" s="4"/>
      <c r="K7" s="4"/>
      <c r="L7" s="4"/>
      <c r="M7" s="4"/>
      <c r="N7" s="4"/>
      <c r="O7" s="1502">
        <f>IF('Chart Data'!W14="Bid Item Not In Drop-Down List",CONCATENATE('Chart Data'!W19," ",'Chart Data'!W20," ",'Chart Data'!W21," ",'Chart Data'!W22,'Chart Data'!W23," ",'Chart Data'!W24),"")</f>
      </c>
      <c r="P7" s="1502"/>
      <c r="Q7" s="1502"/>
      <c r="R7" s="1502"/>
      <c r="S7" s="1502"/>
      <c r="T7" s="1502"/>
      <c r="U7" s="1502"/>
      <c r="W7" s="1228"/>
      <c r="X7" s="1228"/>
      <c r="Y7" s="1228"/>
      <c r="Z7" s="1228"/>
      <c r="AA7" s="1228"/>
    </row>
    <row r="8" spans="1:27" ht="13.5" customHeight="1">
      <c r="A8" s="10" t="s">
        <v>2222</v>
      </c>
      <c r="B8" s="79"/>
      <c r="C8" s="1167"/>
      <c r="D8" s="267"/>
      <c r="E8" s="52"/>
      <c r="F8" s="758" t="s">
        <v>2121</v>
      </c>
      <c r="G8" s="759"/>
      <c r="H8" s="769"/>
      <c r="I8" s="776"/>
      <c r="J8" s="52"/>
      <c r="K8" s="1219"/>
      <c r="L8" s="1219"/>
      <c r="M8" s="10"/>
      <c r="N8" s="1444" t="s">
        <v>2474</v>
      </c>
      <c r="O8" s="1207">
        <f>'Chart Data'!W14</f>
      </c>
      <c r="P8" s="52"/>
      <c r="R8" s="80"/>
      <c r="S8" s="80"/>
      <c r="T8" s="80"/>
      <c r="U8" s="80"/>
      <c r="W8" s="1228"/>
      <c r="X8" s="1228"/>
      <c r="Y8" s="1228"/>
      <c r="Z8" s="1228"/>
      <c r="AA8" s="1228"/>
    </row>
    <row r="9" spans="1:27" ht="13.5" customHeight="1">
      <c r="A9" s="10"/>
      <c r="B9" s="83"/>
      <c r="C9" s="83" t="s">
        <v>905</v>
      </c>
      <c r="D9" s="6"/>
      <c r="E9" s="6"/>
      <c r="F9" s="6"/>
      <c r="G9" s="6"/>
      <c r="H9" s="7"/>
      <c r="I9" s="6"/>
      <c r="J9" s="6"/>
      <c r="K9" s="6"/>
      <c r="L9" s="6"/>
      <c r="M9" s="6"/>
      <c r="N9" s="6"/>
      <c r="O9" s="8"/>
      <c r="P9" s="6"/>
      <c r="Q9" s="6"/>
      <c r="R9" s="73"/>
      <c r="S9" s="73"/>
      <c r="T9" s="73"/>
      <c r="U9" s="73"/>
      <c r="W9" s="1228"/>
      <c r="X9" s="1228"/>
      <c r="Y9" s="1228"/>
      <c r="Z9" s="1228"/>
      <c r="AA9" s="1228"/>
    </row>
    <row r="10" spans="1:27" ht="13.5" customHeight="1">
      <c r="A10" s="81" t="s">
        <v>2122</v>
      </c>
      <c r="B10" s="82"/>
      <c r="C10" s="1545"/>
      <c r="D10" s="1546"/>
      <c r="E10" s="79"/>
      <c r="F10" s="10" t="s">
        <v>910</v>
      </c>
      <c r="G10" s="83"/>
      <c r="H10" s="1163"/>
      <c r="I10" s="10" t="s">
        <v>911</v>
      </c>
      <c r="J10" s="84"/>
      <c r="K10" s="1508"/>
      <c r="L10" s="1508"/>
      <c r="M10" s="79"/>
      <c r="N10" s="14"/>
      <c r="O10" s="10" t="s">
        <v>2226</v>
      </c>
      <c r="P10" s="79"/>
      <c r="R10" s="16">
        <f>'Chart Data'!J7</f>
      </c>
      <c r="S10" s="518"/>
      <c r="T10" s="518"/>
      <c r="U10" s="519"/>
      <c r="W10" s="1228"/>
      <c r="X10" s="1227"/>
      <c r="Y10" s="1227"/>
      <c r="Z10" s="1227"/>
      <c r="AA10" s="1228"/>
    </row>
    <row r="11" spans="1:27" ht="13.5" customHeight="1">
      <c r="A11" s="10"/>
      <c r="B11" s="83"/>
      <c r="C11" s="83" t="s">
        <v>905</v>
      </c>
      <c r="D11" s="84"/>
      <c r="E11" s="14"/>
      <c r="F11" s="10"/>
      <c r="G11" s="84"/>
      <c r="H11" s="83" t="s">
        <v>905</v>
      </c>
      <c r="I11" s="10"/>
      <c r="J11" s="79"/>
      <c r="K11" s="83"/>
      <c r="L11" s="144"/>
      <c r="M11" s="79"/>
      <c r="N11" s="14"/>
      <c r="O11" s="10"/>
      <c r="P11" s="14"/>
      <c r="Q11" s="6"/>
      <c r="R11" s="73"/>
      <c r="S11" s="79"/>
      <c r="T11" s="79"/>
      <c r="U11" s="79"/>
      <c r="W11" s="1228"/>
      <c r="X11" s="1228"/>
      <c r="Y11" s="1228"/>
      <c r="Z11" s="1228"/>
      <c r="AA11" s="1228"/>
    </row>
    <row r="12" spans="1:27" ht="13.5" customHeight="1">
      <c r="A12" s="10" t="s">
        <v>268</v>
      </c>
      <c r="B12" s="83"/>
      <c r="C12" s="1558"/>
      <c r="D12" s="1548"/>
      <c r="E12" s="1548"/>
      <c r="F12" s="10" t="s">
        <v>1999</v>
      </c>
      <c r="G12" s="85"/>
      <c r="H12" s="1090"/>
      <c r="I12" s="10" t="s">
        <v>913</v>
      </c>
      <c r="J12" s="79"/>
      <c r="K12" s="83" t="s">
        <v>2225</v>
      </c>
      <c r="L12" s="144"/>
      <c r="M12" s="79"/>
      <c r="N12" s="14"/>
      <c r="O12" s="10" t="s">
        <v>2253</v>
      </c>
      <c r="P12" s="14"/>
      <c r="Q12" s="150"/>
      <c r="R12" s="73"/>
      <c r="S12" s="57"/>
      <c r="T12" s="1443" t="s">
        <v>919</v>
      </c>
      <c r="U12" s="91"/>
      <c r="W12" s="287"/>
      <c r="X12" s="1228"/>
      <c r="Y12" s="1228"/>
      <c r="Z12" s="1228"/>
      <c r="AA12" s="1228"/>
    </row>
    <row r="13" spans="1:27" ht="13.5" customHeight="1" thickBot="1">
      <c r="A13" s="10"/>
      <c r="B13" s="11"/>
      <c r="C13" s="1548"/>
      <c r="D13" s="1548"/>
      <c r="E13" s="1548"/>
      <c r="F13" s="11"/>
      <c r="G13" s="11"/>
      <c r="H13" s="131"/>
      <c r="I13" s="1388"/>
      <c r="J13" s="79"/>
      <c r="K13" s="16"/>
      <c r="L13" s="144"/>
      <c r="M13" s="79"/>
      <c r="N13" s="11"/>
      <c r="O13" s="146" t="s">
        <v>1918</v>
      </c>
      <c r="P13" s="8"/>
      <c r="Q13" s="6"/>
      <c r="R13" s="73"/>
      <c r="S13" s="90"/>
      <c r="T13" s="1443"/>
      <c r="U13" s="91"/>
      <c r="W13" s="1228"/>
      <c r="X13" s="1228"/>
      <c r="Y13" s="1228"/>
      <c r="Z13" s="1228"/>
      <c r="AA13" s="1228"/>
    </row>
    <row r="14" spans="1:27" ht="13.5" customHeight="1" thickBot="1" thickTop="1">
      <c r="A14" s="10" t="s">
        <v>2254</v>
      </c>
      <c r="B14" s="84"/>
      <c r="C14" s="1557" t="str">
        <f>IF('Project Items'!A6="","Enter Project(s) &amp; Line Item(s)",IF('Project Items'!A8="",CONCATENATE('Project Items'!A6," (",'Project Items'!B6,")"),"Multiple Projects Selected"))</f>
        <v>Enter Project(s) &amp; Line Item(s)</v>
      </c>
      <c r="D14" s="1557"/>
      <c r="E14" s="1557"/>
      <c r="F14" s="10" t="s">
        <v>920</v>
      </c>
      <c r="G14" s="63"/>
      <c r="H14" s="1088"/>
      <c r="I14" s="10" t="s">
        <v>921</v>
      </c>
      <c r="J14" s="79"/>
      <c r="N14" s="14"/>
      <c r="O14" s="13" t="s">
        <v>922</v>
      </c>
      <c r="P14" s="14"/>
      <c r="Q14" s="1208">
        <f>IF('Chart Data'!AO2="","",'Chart Data'!AO2)</f>
      </c>
      <c r="R14" s="73"/>
      <c r="S14" s="169" t="s">
        <v>923</v>
      </c>
      <c r="T14" s="734" t="s">
        <v>924</v>
      </c>
      <c r="U14" s="737" t="s">
        <v>925</v>
      </c>
      <c r="W14" s="1228"/>
      <c r="X14" s="1228"/>
      <c r="Y14" s="1228"/>
      <c r="Z14" s="1228"/>
      <c r="AA14" s="1228"/>
    </row>
    <row r="15" spans="1:27" ht="13.5" customHeight="1" thickTop="1">
      <c r="A15" s="1388"/>
      <c r="B15" s="84"/>
      <c r="C15" s="1557" t="str">
        <f>IF('Project Items'!A6="","On 'Project Items' Tab.",IF('Project Items'!A7="","",IF('Project Items'!A8="",CONCATENATE('Project Items'!A7," (",'Project Items'!B7,")"),"See 'Project Items' Tab.")))</f>
        <v>On 'Project Items' Tab.</v>
      </c>
      <c r="D15" s="1557"/>
      <c r="E15" s="1557"/>
      <c r="F15" s="11"/>
      <c r="G15" s="11"/>
      <c r="H15" s="131"/>
      <c r="I15" s="83">
        <f>IF(ISERROR(VLOOKUP(Q14,'Chart Data'!AM1:AN136,2,FALSE)),"",VLOOKUP(Q14,'Chart Data'!AM1:AN136,2,FALSE))</f>
      </c>
      <c r="J15" s="83"/>
      <c r="K15" s="83"/>
      <c r="L15" s="1233"/>
      <c r="M15" s="1233"/>
      <c r="N15" s="16"/>
      <c r="O15" s="6"/>
      <c r="P15" s="8"/>
      <c r="Q15" s="1389"/>
      <c r="R15" s="73"/>
      <c r="S15" s="268" t="s">
        <v>926</v>
      </c>
      <c r="T15" s="735">
        <v>100</v>
      </c>
      <c r="U15" s="738">
        <v>100</v>
      </c>
      <c r="W15" s="1228"/>
      <c r="X15" s="1228"/>
      <c r="Y15" s="1228"/>
      <c r="Z15" s="1228"/>
      <c r="AA15" s="1228"/>
    </row>
    <row r="16" spans="1:27" ht="13.5" customHeight="1">
      <c r="A16" s="81" t="s">
        <v>2453</v>
      </c>
      <c r="B16" s="82"/>
      <c r="C16" s="1182"/>
      <c r="D16" s="1182"/>
      <c r="E16" s="1182"/>
      <c r="F16" s="10" t="s">
        <v>927</v>
      </c>
      <c r="G16" s="86"/>
      <c r="H16" s="1089"/>
      <c r="I16" s="10" t="s">
        <v>928</v>
      </c>
      <c r="J16" s="79"/>
      <c r="K16" s="1548"/>
      <c r="L16" s="1548"/>
      <c r="M16" s="79"/>
      <c r="N16" s="11"/>
      <c r="O16" s="61" t="s">
        <v>929</v>
      </c>
      <c r="P16" s="59"/>
      <c r="Q16" s="761">
        <f>'Chart Data'!H48</f>
      </c>
      <c r="R16" s="73"/>
      <c r="S16" s="268" t="s">
        <v>930</v>
      </c>
      <c r="T16" s="736"/>
      <c r="U16" s="767"/>
      <c r="V16" s="1186"/>
      <c r="W16" s="1228"/>
      <c r="X16" s="1228"/>
      <c r="Y16" s="1228"/>
      <c r="Z16" s="1228"/>
      <c r="AA16" s="1228"/>
    </row>
    <row r="17" spans="1:27" ht="13.5" customHeight="1">
      <c r="A17" s="59">
        <f>IF(ISERROR(VLOOKUP(H18,'Chart Data'!AH1:AI35,2,FALSE)),"",VLOOKUP(H18,'Chart Data'!AH1:AI35,2,FALSE))</f>
      </c>
      <c r="B17" s="87"/>
      <c r="C17" s="100"/>
      <c r="D17" s="142"/>
      <c r="E17" s="87"/>
      <c r="F17"/>
      <c r="G17"/>
      <c r="H17" s="1195"/>
      <c r="I17" s="82"/>
      <c r="J17" s="79"/>
      <c r="K17" s="130"/>
      <c r="L17" s="144"/>
      <c r="M17" s="79"/>
      <c r="N17" s="82"/>
      <c r="O17"/>
      <c r="P17"/>
      <c r="Q17"/>
      <c r="R17" s="79"/>
      <c r="S17" s="268" t="s">
        <v>931</v>
      </c>
      <c r="T17" s="736"/>
      <c r="U17" s="767"/>
      <c r="W17" s="1228"/>
      <c r="X17" s="1228"/>
      <c r="Y17" s="1228"/>
      <c r="Z17" s="1228"/>
      <c r="AA17" s="1228"/>
    </row>
    <row r="18" spans="1:27" ht="13.5" customHeight="1">
      <c r="A18" s="60" t="s">
        <v>932</v>
      </c>
      <c r="B18" s="58"/>
      <c r="C18" s="707">
        <f>'Chart Data'!W15</f>
      </c>
      <c r="D18" s="484"/>
      <c r="E18" s="64"/>
      <c r="F18" s="81" t="s">
        <v>933</v>
      </c>
      <c r="G18" s="82"/>
      <c r="H18" s="1181">
        <f>IF('Chart Data'!AJ2="","",'Chart Data'!AJ2)</f>
      </c>
      <c r="I18" s="1234" t="s">
        <v>2228</v>
      </c>
      <c r="J18" s="79"/>
      <c r="K18" s="1574">
        <f>IF('Chart Data'!H48="","",IF('Chart Data'!H48=20025,"240 (deg. F)",IF(ISERROR(VLOOKUP('Chart Data'!F48,'Chart Data'!J28:K31,2,FALSE)),"See Applicable Spec.",VLOOKUP('Chart Data'!F48,'Chart Data'!J28:K31,2,FALSE))))</f>
      </c>
      <c r="L18" s="1574"/>
      <c r="M18" s="79"/>
      <c r="N18" s="79"/>
      <c r="O18" s="12"/>
      <c r="P18"/>
      <c r="Q18"/>
      <c r="R18" s="92"/>
      <c r="S18" s="268" t="s">
        <v>934</v>
      </c>
      <c r="T18" s="736"/>
      <c r="U18" s="767"/>
      <c r="V18" s="11"/>
      <c r="W18" s="1230"/>
      <c r="X18" s="1229"/>
      <c r="Y18" s="1229"/>
      <c r="Z18" s="1228"/>
      <c r="AA18" s="1228"/>
    </row>
    <row r="19" spans="1:27" ht="13.5" customHeight="1">
      <c r="A19" s="748" t="str">
        <f>IF(AND('Chart Data'!W55&gt;0,'Chart Data'!BK9="NO"),'Chart Data'!T42,IF('Chart Data'!W55&gt;0,"Recycle selected:  Use "&amp;'Chart Data'!BK10&amp;" virgin binder.","(as specified in Bid Item)"))</f>
        <v>(as specified in Bid Item)</v>
      </c>
      <c r="B19"/>
      <c r="C19"/>
      <c r="D19" s="143"/>
      <c r="E19" s="82"/>
      <c r="F19"/>
      <c r="G19"/>
      <c r="H19"/>
      <c r="I19" s="11"/>
      <c r="J19" s="79"/>
      <c r="K19" s="16"/>
      <c r="L19" s="79"/>
      <c r="M19" s="79"/>
      <c r="N19" s="79"/>
      <c r="O19"/>
      <c r="P19"/>
      <c r="Q19"/>
      <c r="R19"/>
      <c r="S19" s="268" t="s">
        <v>935</v>
      </c>
      <c r="T19" s="736"/>
      <c r="U19" s="767"/>
      <c r="V19" s="11"/>
      <c r="W19" s="1229"/>
      <c r="X19" s="1229"/>
      <c r="Y19" s="1229"/>
      <c r="Z19" s="288"/>
      <c r="AA19" s="288"/>
    </row>
    <row r="20" spans="1:27" ht="13.5" customHeight="1">
      <c r="A20" s="61" t="s">
        <v>936</v>
      </c>
      <c r="B20" s="59"/>
      <c r="C20" s="83">
        <f>IF(ISERROR('Chart Data'!Y2),"",'Chart Data'!Y2)</f>
      </c>
      <c r="D20"/>
      <c r="E20"/>
      <c r="F20" s="245" t="s">
        <v>937</v>
      </c>
      <c r="G20"/>
      <c r="H20" s="762">
        <f>IF(ISERROR('Chart Data'!W16),"",'Chart Data'!W16)</f>
      </c>
      <c r="I20" s="81" t="s">
        <v>938</v>
      </c>
      <c r="J20"/>
      <c r="K20" s="1547"/>
      <c r="L20" s="1547"/>
      <c r="M20"/>
      <c r="N20"/>
      <c r="O20" s="13"/>
      <c r="P20"/>
      <c r="Q20"/>
      <c r="R20" s="92"/>
      <c r="S20" s="268" t="s">
        <v>939</v>
      </c>
      <c r="T20" s="736"/>
      <c r="U20" s="745"/>
      <c r="V20" s="43"/>
      <c r="W20" s="43"/>
      <c r="X20" s="43"/>
      <c r="Y20" s="43"/>
      <c r="Z20" s="288"/>
      <c r="AA20" s="288"/>
    </row>
    <row r="21" spans="1:27" ht="13.5" customHeight="1" thickBot="1">
      <c r="A21" s="1447">
        <f>IF('Chart Data'!L47="","",IF(OR('Chart Data'!L47="A",'Chart Data'!L47="B"),"Please Indicate Polish-Resistant Source(s) by Checkboxes   ↓",""))</f>
      </c>
      <c r="B21" s="15"/>
      <c r="C21" s="5"/>
      <c r="D21"/>
      <c r="E21"/>
      <c r="F21" s="131"/>
      <c r="G21" s="4"/>
      <c r="H21"/>
      <c r="I21" s="744" t="str">
        <f>IF(AND(F21="",K20=""),"(Enter depth from surface (mm))","")</f>
        <v>(Enter depth from surface (mm))</v>
      </c>
      <c r="J21" s="6"/>
      <c r="K21" s="6"/>
      <c r="L21"/>
      <c r="M21" s="6"/>
      <c r="N21"/>
      <c r="O21"/>
      <c r="P21"/>
      <c r="Q21"/>
      <c r="R21" s="9"/>
      <c r="S21" s="268" t="s">
        <v>940</v>
      </c>
      <c r="T21" s="1236" t="s">
        <v>941</v>
      </c>
      <c r="U21" s="747" t="s">
        <v>941</v>
      </c>
      <c r="V21" s="6"/>
      <c r="W21" s="6"/>
      <c r="X21" s="6"/>
      <c r="Y21" s="6"/>
      <c r="Z21" s="292"/>
      <c r="AA21" s="288"/>
    </row>
    <row r="22" spans="1:27" ht="13.5" customHeight="1" thickBot="1" thickTop="1">
      <c r="A22" s="93" t="s">
        <v>942</v>
      </c>
      <c r="B22" s="94"/>
      <c r="C22" s="102" t="s">
        <v>943</v>
      </c>
      <c r="D22" s="103"/>
      <c r="E22" s="104"/>
      <c r="F22" s="95"/>
      <c r="G22" s="95"/>
      <c r="H22" s="96" t="s">
        <v>944</v>
      </c>
      <c r="I22" s="96"/>
      <c r="J22" s="68" t="s">
        <v>945</v>
      </c>
      <c r="K22" s="97"/>
      <c r="L22" s="69" t="s">
        <v>946</v>
      </c>
      <c r="M22" s="70" t="s">
        <v>947</v>
      </c>
      <c r="N22" s="181" t="s">
        <v>948</v>
      </c>
      <c r="O22" s="269"/>
      <c r="P22"/>
      <c r="Q22" s="270" t="s">
        <v>949</v>
      </c>
      <c r="R22" s="271"/>
      <c r="S22" s="128" t="s">
        <v>950</v>
      </c>
      <c r="T22" s="736"/>
      <c r="U22" s="745"/>
      <c r="V22"/>
      <c r="W22" s="1321"/>
      <c r="X22"/>
      <c r="Y22"/>
      <c r="Z22" s="292"/>
      <c r="AA22" s="288"/>
    </row>
    <row r="23" spans="1:27" ht="13.5" customHeight="1" thickBot="1" thickTop="1">
      <c r="A23" s="1559"/>
      <c r="B23" s="1560"/>
      <c r="C23" s="1561"/>
      <c r="D23" s="1562"/>
      <c r="E23" s="1562"/>
      <c r="F23" s="1562"/>
      <c r="G23" s="1563"/>
      <c r="H23" s="1509">
        <f>IF(J23="","",VALUE(VLOOKUP(J23,'Chart Data'!$AR$1:$AS$131,2,FALSE)))</f>
      </c>
      <c r="I23" s="1510"/>
      <c r="J23" s="1554"/>
      <c r="K23" s="1555"/>
      <c r="L23" s="272"/>
      <c r="M23" s="151"/>
      <c r="N23" s="273" t="s">
        <v>951</v>
      </c>
      <c r="O23" s="274">
        <f>IF(I95="","",(1/I95*100))</f>
      </c>
      <c r="P23"/>
      <c r="Q23" s="275" t="s">
        <v>948</v>
      </c>
      <c r="R23" s="276"/>
      <c r="S23" s="128" t="s">
        <v>952</v>
      </c>
      <c r="T23" s="736"/>
      <c r="U23" s="745"/>
      <c r="V23"/>
      <c r="W23"/>
      <c r="X23"/>
      <c r="Y23"/>
      <c r="Z23" s="292"/>
      <c r="AA23" s="288"/>
    </row>
    <row r="24" spans="1:28" ht="13.5" customHeight="1" thickBot="1" thickTop="1">
      <c r="A24" s="1566"/>
      <c r="B24" s="1567"/>
      <c r="C24" s="1569"/>
      <c r="D24" s="1570"/>
      <c r="E24" s="1570"/>
      <c r="F24" s="1570"/>
      <c r="G24" s="1571"/>
      <c r="H24" s="1505">
        <f>IF(J24="","",VALUE(VLOOKUP(J24,'Chart Data'!$AR$1:$AS$131,2,FALSE)))</f>
      </c>
      <c r="I24" s="1506"/>
      <c r="J24" s="1572"/>
      <c r="K24" s="1573"/>
      <c r="L24" s="272"/>
      <c r="M24" s="151"/>
      <c r="N24" s="277" t="s">
        <v>953</v>
      </c>
      <c r="O24" s="278">
        <f>IF(Q25="","",(100-Q25)/((100/R28)-(Q25/O25)))</f>
      </c>
      <c r="P24"/>
      <c r="Q24" s="279" t="s">
        <v>954</v>
      </c>
      <c r="R24" s="280" t="s">
        <v>955</v>
      </c>
      <c r="S24" s="128" t="s">
        <v>956</v>
      </c>
      <c r="T24" s="736"/>
      <c r="U24" s="745"/>
      <c r="V24"/>
      <c r="W24" s="1385"/>
      <c r="X24"/>
      <c r="Y24"/>
      <c r="Z24" s="1467"/>
      <c r="AA24" s="1467"/>
      <c r="AB24" s="1467"/>
    </row>
    <row r="25" spans="1:27" ht="13.5" customHeight="1" thickBot="1" thickTop="1">
      <c r="A25" s="1566"/>
      <c r="B25" s="1567"/>
      <c r="C25" s="1569"/>
      <c r="D25" s="1570"/>
      <c r="E25" s="1570"/>
      <c r="F25" s="1570"/>
      <c r="G25" s="1571"/>
      <c r="H25" s="1505">
        <f>IF(J25="","",VALUE(VLOOKUP(J25,'Chart Data'!$AR$1:$AS$131,2,FALSE)))</f>
      </c>
      <c r="I25" s="1506"/>
      <c r="J25" s="1572"/>
      <c r="K25" s="1573"/>
      <c r="L25" s="272"/>
      <c r="M25" s="151"/>
      <c r="N25" s="676" t="s">
        <v>957</v>
      </c>
      <c r="O25" s="677">
        <v>1.03</v>
      </c>
      <c r="P25"/>
      <c r="Q25" s="281"/>
      <c r="R25" s="187"/>
      <c r="S25" s="129" t="s">
        <v>958</v>
      </c>
      <c r="T25" s="736"/>
      <c r="U25" s="745"/>
      <c r="V25"/>
      <c r="W25" s="9"/>
      <c r="X25"/>
      <c r="Y25"/>
      <c r="Z25" s="288"/>
      <c r="AA25" s="288"/>
    </row>
    <row r="26" spans="1:39" ht="13.5" customHeight="1" thickTop="1">
      <c r="A26" s="1568"/>
      <c r="B26" s="1567"/>
      <c r="C26" s="1590"/>
      <c r="D26" s="1570"/>
      <c r="E26" s="1570"/>
      <c r="F26" s="1570"/>
      <c r="G26" s="1571"/>
      <c r="H26" s="1505">
        <f>IF(J26="","",VALUE(VLOOKUP(J26,'Chart Data'!$AR$1:$AS$131,2,FALSE)))</f>
      </c>
      <c r="I26" s="1506"/>
      <c r="J26" s="1572"/>
      <c r="K26" s="1573"/>
      <c r="L26" s="272"/>
      <c r="M26" s="1378"/>
      <c r="N26" s="1377">
        <f>IF('Chart Data'!S55="Recycle","Recycle MSG","")</f>
      </c>
      <c r="O26" s="1381"/>
      <c r="P26" s="79"/>
      <c r="Q26" s="282"/>
      <c r="R26" s="188"/>
      <c r="S26" s="129" t="s">
        <v>959</v>
      </c>
      <c r="T26" s="736"/>
      <c r="U26" s="745"/>
      <c r="V26" s="9"/>
      <c r="W26" s="1387"/>
      <c r="Z26" s="1468"/>
      <c r="AA26" s="1468"/>
      <c r="AB26" s="1468"/>
      <c r="AM26" s="6"/>
    </row>
    <row r="27" spans="1:27" ht="13.5" customHeight="1">
      <c r="A27" s="1566"/>
      <c r="B27" s="1567"/>
      <c r="C27" s="1569"/>
      <c r="D27" s="1570"/>
      <c r="E27" s="1570"/>
      <c r="F27" s="1570"/>
      <c r="G27" s="1571"/>
      <c r="H27" s="1505">
        <f>IF(J27="","",VALUE(VLOOKUP(J27,'Chart Data'!$AR$1:$AS$131,2,FALSE)))</f>
      </c>
      <c r="I27" s="1506"/>
      <c r="J27" s="1572"/>
      <c r="K27" s="1573"/>
      <c r="L27" s="272"/>
      <c r="M27" s="1379"/>
      <c r="N27" s="1556">
        <f>'Chart Data'!R105</f>
      </c>
      <c r="O27" s="1556"/>
      <c r="P27" s="1382"/>
      <c r="Q27" s="283" t="s">
        <v>905</v>
      </c>
      <c r="R27" s="188"/>
      <c r="S27" s="129" t="s">
        <v>960</v>
      </c>
      <c r="T27" s="736"/>
      <c r="U27" s="770"/>
      <c r="V27" s="9"/>
      <c r="W27" s="9"/>
      <c r="X27" s="9"/>
      <c r="Y27" s="9"/>
      <c r="AA27"/>
    </row>
    <row r="28" spans="1:28" ht="13.5" customHeight="1" thickBot="1">
      <c r="A28" s="1549"/>
      <c r="B28" s="1550"/>
      <c r="C28" s="1595"/>
      <c r="D28" s="1596"/>
      <c r="E28" s="1596"/>
      <c r="F28" s="1596"/>
      <c r="G28" s="1597"/>
      <c r="H28" s="1591">
        <f>IF(J28="","",VALUE(VLOOKUP(J28,'Chart Data'!$AR$1:$AS$131,2,FALSE)))</f>
      </c>
      <c r="I28" s="1592"/>
      <c r="J28" s="1588"/>
      <c r="K28" s="1589"/>
      <c r="L28" s="284"/>
      <c r="M28" s="1380"/>
      <c r="N28" s="1383">
        <f>IF('Chart Data'!S55="Recycle","Rap Gsb =","")</f>
      </c>
      <c r="O28" s="1384">
        <f>'Chart Data'!R111</f>
      </c>
      <c r="P28" s="1382">
        <f>IF(AND(N27="",O27=""),"",AVERAGE(N27:O27))</f>
      </c>
      <c r="Q28" s="148" t="s">
        <v>961</v>
      </c>
      <c r="R28" s="285">
        <f>IF(Q25="","",AVERAGE(R25:R27))</f>
      </c>
      <c r="S28" s="38" t="s">
        <v>962</v>
      </c>
      <c r="T28" s="154"/>
      <c r="U28" s="746"/>
      <c r="V28" s="9"/>
      <c r="W28" s="1385"/>
      <c r="X28" s="9"/>
      <c r="Y28" s="9"/>
      <c r="Z28" s="1468"/>
      <c r="AA28" s="1468"/>
      <c r="AB28" s="1468"/>
    </row>
    <row r="29" spans="1:26" ht="13.5" customHeight="1" thickBot="1" thickTop="1">
      <c r="A29" s="55"/>
      <c r="B29" s="55"/>
      <c r="C29" s="54"/>
      <c r="D29" s="55"/>
      <c r="E29" s="99"/>
      <c r="F29" s="55"/>
      <c r="G29" s="55"/>
      <c r="H29" s="55"/>
      <c r="I29" s="537">
        <f>IF('Chart Data'!S55="Recycle","Fill in Recycle Info. on 'Recycle Data' sheet and the Backcalculated Gsb will be automatically utilized for the Agg. Gravity for Recycle.","")</f>
      </c>
      <c r="J29" s="65"/>
      <c r="K29" s="98"/>
      <c r="L29" s="99"/>
      <c r="M29" s="56"/>
      <c r="N29" s="8"/>
      <c r="O29" s="6"/>
      <c r="P29" s="17"/>
      <c r="Q29" s="1598"/>
      <c r="R29" s="1598"/>
      <c r="S29" s="1598"/>
      <c r="T29" s="1593"/>
      <c r="U29" s="1594"/>
      <c r="V29" s="9"/>
      <c r="X29" s="9"/>
      <c r="Z29" s="288"/>
    </row>
    <row r="30" spans="1:28" ht="13.5" customHeight="1" thickTop="1">
      <c r="A30" s="37" t="s">
        <v>963</v>
      </c>
      <c r="B30" s="34" t="s">
        <v>964</v>
      </c>
      <c r="C30" s="42"/>
      <c r="D30" s="51" t="s">
        <v>965</v>
      </c>
      <c r="E30" s="35"/>
      <c r="F30" s="34" t="s">
        <v>966</v>
      </c>
      <c r="G30" s="34" t="s">
        <v>967</v>
      </c>
      <c r="H30" s="34" t="s">
        <v>968</v>
      </c>
      <c r="I30" s="34" t="s">
        <v>969</v>
      </c>
      <c r="J30" s="36" t="s">
        <v>970</v>
      </c>
      <c r="K30" s="34" t="s">
        <v>971</v>
      </c>
      <c r="L30" s="34" t="s">
        <v>972</v>
      </c>
      <c r="M30" s="34" t="s">
        <v>973</v>
      </c>
      <c r="N30" s="34" t="s">
        <v>974</v>
      </c>
      <c r="O30" s="34" t="s">
        <v>975</v>
      </c>
      <c r="P30" s="34" t="s">
        <v>976</v>
      </c>
      <c r="Q30" s="34" t="s">
        <v>977</v>
      </c>
      <c r="R30" s="313" t="s">
        <v>978</v>
      </c>
      <c r="S30" s="320"/>
      <c r="T30" s="315" t="s">
        <v>978</v>
      </c>
      <c r="U30" s="318"/>
      <c r="V30" s="17"/>
      <c r="W30" s="1386"/>
      <c r="X30"/>
      <c r="Y30"/>
      <c r="Z30" s="1469"/>
      <c r="AA30" s="1469"/>
      <c r="AB30" s="1469"/>
    </row>
    <row r="31" spans="1:26" ht="13.5" customHeight="1" thickBot="1">
      <c r="A31" s="38"/>
      <c r="B31" s="31" t="s">
        <v>979</v>
      </c>
      <c r="C31" s="31" t="s">
        <v>980</v>
      </c>
      <c r="D31" s="31" t="s">
        <v>981</v>
      </c>
      <c r="E31" s="31" t="s">
        <v>982</v>
      </c>
      <c r="F31" s="31" t="s">
        <v>983</v>
      </c>
      <c r="G31" s="209" t="s">
        <v>984</v>
      </c>
      <c r="H31" s="31" t="s">
        <v>985</v>
      </c>
      <c r="I31" s="31" t="s">
        <v>986</v>
      </c>
      <c r="J31" s="209" t="s">
        <v>984</v>
      </c>
      <c r="K31" s="31" t="s">
        <v>979</v>
      </c>
      <c r="L31" s="31"/>
      <c r="M31" s="209" t="s">
        <v>984</v>
      </c>
      <c r="N31" s="209" t="s">
        <v>984</v>
      </c>
      <c r="O31" s="31" t="s">
        <v>987</v>
      </c>
      <c r="P31" s="209" t="s">
        <v>988</v>
      </c>
      <c r="Q31" s="31" t="s">
        <v>989</v>
      </c>
      <c r="R31" s="314" t="s">
        <v>990</v>
      </c>
      <c r="S31" s="259"/>
      <c r="T31" s="316" t="s">
        <v>991</v>
      </c>
      <c r="U31" s="319"/>
      <c r="V31" s="11"/>
      <c r="W31" s="1385"/>
      <c r="X31"/>
      <c r="Y31"/>
      <c r="Z31" s="287"/>
    </row>
    <row r="32" spans="1:26" ht="15.75" customHeight="1" thickTop="1">
      <c r="A32" s="152">
        <v>1</v>
      </c>
      <c r="B32" s="322" t="s">
        <v>905</v>
      </c>
      <c r="C32" s="156"/>
      <c r="D32" s="157"/>
      <c r="E32" s="156"/>
      <c r="F32" s="296">
        <f>IF(E32="","",E32-D32)</f>
      </c>
      <c r="G32" s="297">
        <f aca="true" t="shared" si="0" ref="G32:G42">IF(ISERROR(C32/F32),"",(C32/F32))</f>
      </c>
      <c r="H32" s="298">
        <f>IF(ISERROR(G32*62.4),"",(G32*62.4))</f>
      </c>
      <c r="I32" s="297"/>
      <c r="J32" s="299"/>
      <c r="K32" s="300"/>
      <c r="L32" s="300"/>
      <c r="M32" s="300"/>
      <c r="N32" s="241"/>
      <c r="O32" s="241"/>
      <c r="P32" s="295">
        <f>IF(OR(R32="",T32=""),"",((C32/F32)*(T32/R32))*100/I34)</f>
      </c>
      <c r="Q32" s="211"/>
      <c r="R32" s="1503"/>
      <c r="S32" s="1504"/>
      <c r="T32" s="1503"/>
      <c r="U32" s="1507"/>
      <c r="V32" s="11"/>
      <c r="W32" s="1385"/>
      <c r="X32"/>
      <c r="Y32"/>
      <c r="Z32" s="291"/>
    </row>
    <row r="33" spans="1:26" ht="15.75" customHeight="1">
      <c r="A33" s="153">
        <v>2</v>
      </c>
      <c r="B33" s="19"/>
      <c r="C33" s="158"/>
      <c r="D33" s="159"/>
      <c r="E33" s="158"/>
      <c r="F33" s="20">
        <f>IF(E33="","",E33-D33)</f>
      </c>
      <c r="G33" s="21">
        <f t="shared" si="0"/>
      </c>
      <c r="H33" s="213">
        <f>IF(ISERROR(G33*62.4),"",(G33*62.4))</f>
      </c>
      <c r="I33" s="21"/>
      <c r="J33" s="18"/>
      <c r="K33" s="22"/>
      <c r="L33" s="22"/>
      <c r="M33" s="22"/>
      <c r="N33" s="227"/>
      <c r="O33" s="227"/>
      <c r="P33" s="212">
        <f>IF(R33="","",((C33/F33)*(T33/R33))*100/I34)</f>
      </c>
      <c r="Q33" s="23"/>
      <c r="R33" s="1477"/>
      <c r="S33" s="1585"/>
      <c r="T33" s="1477"/>
      <c r="U33" s="1478"/>
      <c r="V33" s="11"/>
      <c r="X33"/>
      <c r="Y33"/>
      <c r="Z33" s="291"/>
    </row>
    <row r="34" spans="1:26" ht="15.75" customHeight="1" thickBot="1">
      <c r="A34" s="39" t="s">
        <v>992</v>
      </c>
      <c r="B34" s="154"/>
      <c r="C34" s="24"/>
      <c r="D34" s="25"/>
      <c r="E34" s="26" t="s">
        <v>905</v>
      </c>
      <c r="F34" s="27"/>
      <c r="G34" s="28">
        <f>IF(G32="","",AVERAGE(G32:G33))</f>
      </c>
      <c r="H34" s="29">
        <f>IF(H32="","",AVERAGE(H32:H33))</f>
      </c>
      <c r="I34" s="28">
        <f>IF(B34="","",100/((B34/1.03)+((100-B34)/$O$24)))</f>
      </c>
      <c r="J34" s="29">
        <f>IF(I34="","",((I34-G34)/I34)*100)</f>
      </c>
      <c r="K34" s="30">
        <f>IF(B34="","",($O$24-$O$23)/($O$24*$O$23)*$O$25*(100-B34))</f>
      </c>
      <c r="L34" s="29">
        <f>IF(B34="","",(B34-K34))</f>
      </c>
      <c r="M34" s="29">
        <f>IF(B34="","",100-(G34*(100-B34)/$O$23))</f>
      </c>
      <c r="N34" s="242">
        <f>IF(M34="","",(100*(M34-J34)/M34))</f>
      </c>
      <c r="O34" s="228">
        <f>IF(L34="","",(10*((L34/100)/($H$98*(1-L34/100))/0.00003937)+0.5)/10)</f>
      </c>
      <c r="P34" s="29">
        <f>IF(P32="","",AVERAGE(P32:P33))</f>
      </c>
      <c r="Q34" s="210">
        <f>IF($L$34="","",($T$28/L34))</f>
      </c>
      <c r="R34" s="321"/>
      <c r="S34" s="258"/>
      <c r="T34" s="321"/>
      <c r="U34" s="317"/>
      <c r="V34" s="11"/>
      <c r="W34" s="1386"/>
      <c r="X34"/>
      <c r="Y34"/>
      <c r="Z34" s="291"/>
    </row>
    <row r="35" spans="1:26" ht="15.75" customHeight="1" thickTop="1">
      <c r="A35" s="152">
        <v>3</v>
      </c>
      <c r="B35" s="212" t="s">
        <v>964</v>
      </c>
      <c r="C35" s="156"/>
      <c r="D35" s="157"/>
      <c r="E35" s="156"/>
      <c r="F35" s="20">
        <f>IF(E35="","",E35-D35)</f>
      </c>
      <c r="G35" s="21">
        <f t="shared" si="0"/>
      </c>
      <c r="H35" s="213">
        <f>IF(ISERROR(G35*62.4),"",(G35*62.4))</f>
      </c>
      <c r="I35" s="21"/>
      <c r="J35" s="18"/>
      <c r="K35" s="22"/>
      <c r="L35" s="22"/>
      <c r="M35" s="22"/>
      <c r="N35" s="241"/>
      <c r="O35" s="227"/>
      <c r="P35" s="212">
        <f>IF(R35="","",((C35/F35)*(T35/R35))*100/I37)</f>
      </c>
      <c r="Q35" s="211"/>
      <c r="R35" s="1503"/>
      <c r="S35" s="1504"/>
      <c r="T35" s="1503"/>
      <c r="U35" s="1507"/>
      <c r="V35" s="11"/>
      <c r="W35" s="1385"/>
      <c r="X35"/>
      <c r="Y35"/>
      <c r="Z35" s="291"/>
    </row>
    <row r="36" spans="1:26" ht="15.75" customHeight="1">
      <c r="A36" s="153">
        <v>4</v>
      </c>
      <c r="B36" s="23"/>
      <c r="C36" s="158"/>
      <c r="D36" s="159"/>
      <c r="E36" s="158"/>
      <c r="F36" s="20">
        <f>IF(E36="","",E36-D36)</f>
      </c>
      <c r="G36" s="21">
        <f t="shared" si="0"/>
      </c>
      <c r="H36" s="213">
        <f>IF(ISERROR(G36*62.4),"",(G36*62.4))</f>
      </c>
      <c r="I36" s="21"/>
      <c r="J36" s="18"/>
      <c r="K36" s="22"/>
      <c r="L36" s="22"/>
      <c r="M36" s="22"/>
      <c r="N36" s="227"/>
      <c r="O36" s="227"/>
      <c r="P36" s="212">
        <f>IF(R36="","",((C36/F36)*(T36/R36))*100/I37)</f>
      </c>
      <c r="Q36" s="23"/>
      <c r="R36" s="1477"/>
      <c r="S36" s="1585"/>
      <c r="T36" s="1477"/>
      <c r="U36" s="1478"/>
      <c r="V36" s="11"/>
      <c r="W36" s="1385"/>
      <c r="X36"/>
      <c r="Y36"/>
      <c r="Z36" s="291"/>
    </row>
    <row r="37" spans="1:26" ht="15.75" customHeight="1" thickBot="1">
      <c r="A37" s="39" t="s">
        <v>992</v>
      </c>
      <c r="B37" s="155"/>
      <c r="C37" s="32"/>
      <c r="D37" s="25" t="s">
        <v>905</v>
      </c>
      <c r="E37" s="26"/>
      <c r="F37" s="27"/>
      <c r="G37" s="28">
        <f>IF(G35="","",AVERAGE(G35:G36))</f>
      </c>
      <c r="H37" s="29">
        <f>IF(H35="","",AVERAGE(H35:H36))</f>
      </c>
      <c r="I37" s="28">
        <f>IF(B37="","",100/((B37/1.03)+((100-B37)/$O$24)))</f>
      </c>
      <c r="J37" s="29">
        <f>IF(I37="","",((I37-G37)/I37)*100)</f>
      </c>
      <c r="K37" s="30">
        <f>IF(B37="","",($O$24-$O$23)/($O$24*$O$23)*$O$25*(100-B37))</f>
      </c>
      <c r="L37" s="29">
        <f>IF(B37="","",(B37-K37))</f>
      </c>
      <c r="M37" s="29">
        <f>IF(B37="","",100-(G37*(100-B37)/$O$23))</f>
      </c>
      <c r="N37" s="242">
        <f>IF(M37="","",(100*(M37-J37)/M37))</f>
      </c>
      <c r="O37" s="228">
        <f>IF(L37="","",(10*((L37/100)/($H$98*(1-L37/100))/0.00003937)+0.5)/10)</f>
      </c>
      <c r="P37" s="29">
        <f>IF(P35="","",AVERAGE(P35:P36))</f>
      </c>
      <c r="Q37" s="210">
        <f>IF($L$37="","",($T$28/L37))</f>
      </c>
      <c r="R37" s="321"/>
      <c r="S37" s="258"/>
      <c r="T37" s="321"/>
      <c r="U37" s="317"/>
      <c r="V37" s="11"/>
      <c r="W37" s="9"/>
      <c r="X37"/>
      <c r="Y37"/>
      <c r="Z37" s="291"/>
    </row>
    <row r="38" spans="1:26" ht="15.75" customHeight="1" thickTop="1">
      <c r="A38" s="152">
        <v>5</v>
      </c>
      <c r="B38" s="212" t="s">
        <v>964</v>
      </c>
      <c r="C38" s="156"/>
      <c r="D38" s="157"/>
      <c r="E38" s="156"/>
      <c r="F38" s="20">
        <f>IF(E38="","",E38-D38)</f>
      </c>
      <c r="G38" s="21">
        <f t="shared" si="0"/>
      </c>
      <c r="H38" s="213">
        <f>IF(ISERROR(G38*62.4),"",(G38*62.4))</f>
      </c>
      <c r="I38" s="21"/>
      <c r="J38" s="18"/>
      <c r="K38" s="22"/>
      <c r="L38" s="22"/>
      <c r="M38" s="22"/>
      <c r="N38" s="241"/>
      <c r="O38" s="227"/>
      <c r="P38" s="212">
        <f>IF(R38="","",((C38/F38)*(T38/R38))*100/I40)</f>
      </c>
      <c r="Q38" s="211"/>
      <c r="R38" s="1503"/>
      <c r="S38" s="1504"/>
      <c r="T38" s="1503"/>
      <c r="U38" s="1507"/>
      <c r="V38" s="11"/>
      <c r="W38" s="9"/>
      <c r="X38"/>
      <c r="Y38"/>
      <c r="Z38" s="291"/>
    </row>
    <row r="39" spans="1:26" ht="15.75" customHeight="1">
      <c r="A39" s="153">
        <v>6</v>
      </c>
      <c r="B39" s="23"/>
      <c r="C39" s="158"/>
      <c r="D39" s="159"/>
      <c r="E39" s="158"/>
      <c r="F39" s="20">
        <f>IF(E39="","",E39-D39)</f>
      </c>
      <c r="G39" s="21">
        <f t="shared" si="0"/>
      </c>
      <c r="H39" s="213">
        <f>IF(ISERROR(G39*62.4),"",(G39*62.4))</f>
      </c>
      <c r="I39" s="21"/>
      <c r="J39" s="18"/>
      <c r="K39" s="22"/>
      <c r="L39" s="22"/>
      <c r="M39" s="22"/>
      <c r="N39" s="227"/>
      <c r="O39" s="227"/>
      <c r="P39" s="212">
        <f>IF(R39="","",((C39/F39)*(T39/R39))*100/I40)</f>
      </c>
      <c r="Q39" s="23"/>
      <c r="R39" s="1477"/>
      <c r="S39" s="1585"/>
      <c r="T39" s="1477"/>
      <c r="U39" s="1478"/>
      <c r="V39" s="11"/>
      <c r="W39" s="9"/>
      <c r="X39"/>
      <c r="Y39"/>
      <c r="Z39" s="291"/>
    </row>
    <row r="40" spans="1:26" ht="15.75" customHeight="1" thickBot="1">
      <c r="A40" s="39" t="s">
        <v>992</v>
      </c>
      <c r="B40" s="155"/>
      <c r="C40" s="32"/>
      <c r="D40" s="25" t="s">
        <v>905</v>
      </c>
      <c r="E40" s="26"/>
      <c r="F40" s="27"/>
      <c r="G40" s="28">
        <f>IF(G38="","",AVERAGE(G38:G39))</f>
      </c>
      <c r="H40" s="29">
        <f>IF(H38="","",AVERAGE(H38:H39))</f>
      </c>
      <c r="I40" s="28">
        <f>IF(B40="","",100/((B40/1.03)+((100-B40)/$O$24)))</f>
      </c>
      <c r="J40" s="29">
        <f>IF(I40="","",((I40-G40)/I40)*100)</f>
      </c>
      <c r="K40" s="30">
        <f>IF(B40="","",($O$24-$O$23)/($O$24*$O$23)*$O$25*(100-B40))</f>
      </c>
      <c r="L40" s="29">
        <f>IF(B40="","",(B40-K40))</f>
      </c>
      <c r="M40" s="29">
        <f>IF(B40="","",100-(G40*(100-B40)/$O$23))</f>
      </c>
      <c r="N40" s="242">
        <f>IF(M40="","",(100*(M40-J40)/M40))</f>
      </c>
      <c r="O40" s="228">
        <f>IF(L40="","",(10*((L40/100)/($H$98*(1-L40/100))/0.00003937)+0.5)/10)</f>
      </c>
      <c r="P40" s="29">
        <f>IF(P38="","",AVERAGE(P38:P39))</f>
      </c>
      <c r="Q40" s="210">
        <f>IF($L$40="","",($T$28/L40))</f>
      </c>
      <c r="R40" s="321"/>
      <c r="S40" s="258"/>
      <c r="T40" s="321"/>
      <c r="U40" s="317"/>
      <c r="V40" s="17"/>
      <c r="W40" s="9"/>
      <c r="X40"/>
      <c r="Y40"/>
      <c r="Z40" s="291"/>
    </row>
    <row r="41" spans="1:26" ht="15.75" customHeight="1" thickTop="1">
      <c r="A41" s="152">
        <v>7</v>
      </c>
      <c r="B41" s="212" t="s">
        <v>964</v>
      </c>
      <c r="C41" s="156"/>
      <c r="D41" s="157"/>
      <c r="E41" s="156"/>
      <c r="F41" s="20">
        <f>IF(E41="","",E41-D41)</f>
      </c>
      <c r="G41" s="21">
        <f t="shared" si="0"/>
      </c>
      <c r="H41" s="213">
        <f>IF(ISERROR(G41*62.4),"",(G41*62.4))</f>
      </c>
      <c r="I41" s="21"/>
      <c r="J41" s="18"/>
      <c r="K41" s="22"/>
      <c r="L41" s="22"/>
      <c r="M41" s="22"/>
      <c r="N41" s="241"/>
      <c r="O41" s="227"/>
      <c r="P41" s="212">
        <f>IF(R41="","",((C41/F41)*(T41/R41))*100/I43)</f>
      </c>
      <c r="Q41" s="211"/>
      <c r="R41" s="1503"/>
      <c r="S41" s="1504"/>
      <c r="T41" s="1503"/>
      <c r="U41" s="1507"/>
      <c r="V41" s="17"/>
      <c r="W41" s="17"/>
      <c r="X41"/>
      <c r="Y41"/>
      <c r="Z41" s="291"/>
    </row>
    <row r="42" spans="1:26" ht="15.75" customHeight="1">
      <c r="A42" s="153">
        <v>8</v>
      </c>
      <c r="B42" s="23"/>
      <c r="C42" s="158"/>
      <c r="D42" s="159"/>
      <c r="E42" s="158"/>
      <c r="F42" s="20">
        <f>IF(E42="","",E42-D42)</f>
      </c>
      <c r="G42" s="21">
        <f t="shared" si="0"/>
      </c>
      <c r="H42" s="213">
        <f>IF(ISERROR(G42*62.4),"",(G42*62.4))</f>
      </c>
      <c r="I42" s="21"/>
      <c r="J42" s="18"/>
      <c r="K42" s="22"/>
      <c r="L42" s="22"/>
      <c r="M42" s="22"/>
      <c r="N42" s="227"/>
      <c r="O42" s="227"/>
      <c r="P42" s="212">
        <f>IF(R42="","",((C42/F42)*(T42/R42))*100/I43)</f>
      </c>
      <c r="Q42" s="23"/>
      <c r="R42" s="1477"/>
      <c r="S42" s="1585"/>
      <c r="T42" s="1477"/>
      <c r="U42" s="1478"/>
      <c r="V42" s="17"/>
      <c r="W42" s="17"/>
      <c r="X42"/>
      <c r="Y42"/>
      <c r="Z42" s="291"/>
    </row>
    <row r="43" spans="1:26" ht="15.75" customHeight="1" thickBot="1">
      <c r="A43" s="39" t="s">
        <v>992</v>
      </c>
      <c r="B43" s="155"/>
      <c r="C43" s="26"/>
      <c r="D43" s="25"/>
      <c r="E43" s="33"/>
      <c r="F43" s="27"/>
      <c r="G43" s="28">
        <f>IF(G41="","",AVERAGE(G41:G42))</f>
      </c>
      <c r="H43" s="29">
        <f>IF(H41="","",AVERAGE(H41:H42))</f>
      </c>
      <c r="I43" s="28">
        <f>IF(B43="","",100/((B43/1.03)+((100-B43)/$O$24)))</f>
      </c>
      <c r="J43" s="29">
        <f>IF(I43="","",((I43-G43)/I43)*100)</f>
      </c>
      <c r="K43" s="30">
        <f>IF(B43="","",($O$24-$O$23)/($O$24*$O$23)*$O$25*(100-B43))</f>
      </c>
      <c r="L43" s="29">
        <f>IF(B43="","",(B43-K43))</f>
      </c>
      <c r="M43" s="29">
        <f>IF(B43="","",100-(G43*(100-B43)/$O$23))</f>
      </c>
      <c r="N43" s="807">
        <f>IF(M43="","",(100*(M43-J43)/M43))</f>
      </c>
      <c r="O43" s="228">
        <f>IF(L43="","",(10*((L43/100)/($H$98*(1-L43/100))/0.00003937)+0.5)/10)</f>
      </c>
      <c r="P43" s="29">
        <f>IF(P41="","",AVERAGE(P41:P42))</f>
      </c>
      <c r="Q43" s="210">
        <f>IF($L$43="","",($T$28/L43))</f>
      </c>
      <c r="R43" s="321"/>
      <c r="S43" s="259"/>
      <c r="T43" s="321"/>
      <c r="U43" s="319"/>
      <c r="V43" s="17"/>
      <c r="W43" s="17"/>
      <c r="X43"/>
      <c r="Y43"/>
      <c r="Z43" s="291"/>
    </row>
    <row r="44" spans="1:26" ht="12" customHeight="1" thickBot="1" thickTop="1">
      <c r="A44" s="324" t="s">
        <v>993</v>
      </c>
      <c r="B44" s="768"/>
      <c r="C44" s="306"/>
      <c r="D44" s="307"/>
      <c r="E44" s="305"/>
      <c r="F44" s="308"/>
      <c r="G44" s="309"/>
      <c r="H44" s="171"/>
      <c r="I44" s="309"/>
      <c r="J44" s="171"/>
      <c r="K44" s="147"/>
      <c r="L44" s="171"/>
      <c r="M44" s="171"/>
      <c r="N44" s="310"/>
      <c r="O44" s="171"/>
      <c r="P44" s="171"/>
      <c r="Q44" s="311"/>
      <c r="R44" s="323"/>
      <c r="S44" s="55"/>
      <c r="T44" s="323"/>
      <c r="U44" s="55"/>
      <c r="V44" s="17"/>
      <c r="W44" s="17"/>
      <c r="X44" s="171"/>
      <c r="Y44" s="17"/>
      <c r="Z44" s="291"/>
    </row>
    <row r="45" spans="1:27" ht="12.75" customHeight="1" thickTop="1">
      <c r="A45" s="37" t="s">
        <v>963</v>
      </c>
      <c r="B45" s="34" t="s">
        <v>964</v>
      </c>
      <c r="C45" s="42"/>
      <c r="D45" s="51" t="s">
        <v>965</v>
      </c>
      <c r="E45" s="35"/>
      <c r="F45" s="34" t="s">
        <v>966</v>
      </c>
      <c r="G45" s="34" t="s">
        <v>967</v>
      </c>
      <c r="H45" s="34" t="s">
        <v>968</v>
      </c>
      <c r="I45" s="34" t="s">
        <v>969</v>
      </c>
      <c r="J45" s="36" t="s">
        <v>970</v>
      </c>
      <c r="K45" s="34" t="s">
        <v>971</v>
      </c>
      <c r="L45" s="34" t="s">
        <v>972</v>
      </c>
      <c r="M45" s="34" t="s">
        <v>973</v>
      </c>
      <c r="N45" s="34" t="s">
        <v>974</v>
      </c>
      <c r="O45" s="34" t="s">
        <v>975</v>
      </c>
      <c r="P45" s="34" t="s">
        <v>976</v>
      </c>
      <c r="Q45" s="34" t="s">
        <v>977</v>
      </c>
      <c r="R45" s="34" t="s">
        <v>978</v>
      </c>
      <c r="S45" s="34" t="s">
        <v>978</v>
      </c>
      <c r="T45" s="312" t="s">
        <v>978</v>
      </c>
      <c r="U45" s="301" t="s">
        <v>976</v>
      </c>
      <c r="V45" s="141"/>
      <c r="W45" s="485"/>
      <c r="X45" s="485"/>
      <c r="Y45" s="485"/>
      <c r="Z45" s="485"/>
      <c r="AA45" s="332"/>
    </row>
    <row r="46" spans="1:27" ht="12" customHeight="1" thickBot="1">
      <c r="A46" s="38"/>
      <c r="B46" s="31" t="s">
        <v>979</v>
      </c>
      <c r="C46" s="31" t="s">
        <v>980</v>
      </c>
      <c r="D46" s="31" t="s">
        <v>981</v>
      </c>
      <c r="E46" s="31" t="s">
        <v>982</v>
      </c>
      <c r="F46" s="31" t="s">
        <v>983</v>
      </c>
      <c r="G46" s="209" t="s">
        <v>984</v>
      </c>
      <c r="H46" s="31" t="s">
        <v>985</v>
      </c>
      <c r="I46" s="31" t="s">
        <v>986</v>
      </c>
      <c r="J46" s="209" t="s">
        <v>984</v>
      </c>
      <c r="K46" s="31" t="s">
        <v>979</v>
      </c>
      <c r="L46" s="31"/>
      <c r="M46" s="209" t="s">
        <v>984</v>
      </c>
      <c r="N46" s="209" t="s">
        <v>984</v>
      </c>
      <c r="O46" s="31" t="s">
        <v>987</v>
      </c>
      <c r="P46" s="209" t="s">
        <v>988</v>
      </c>
      <c r="Q46" s="31" t="s">
        <v>989</v>
      </c>
      <c r="R46" s="209" t="s">
        <v>990</v>
      </c>
      <c r="S46" s="209" t="s">
        <v>994</v>
      </c>
      <c r="T46" s="209" t="s">
        <v>995</v>
      </c>
      <c r="U46" s="302" t="s">
        <v>996</v>
      </c>
      <c r="V46" s="17"/>
      <c r="W46" s="485"/>
      <c r="X46" s="485"/>
      <c r="Y46" s="485"/>
      <c r="Z46" s="485"/>
      <c r="AA46" s="332"/>
    </row>
    <row r="47" spans="1:27" ht="15.75" customHeight="1" thickTop="1">
      <c r="A47" s="152" t="s">
        <v>997</v>
      </c>
      <c r="B47" s="295" t="s">
        <v>964</v>
      </c>
      <c r="C47" s="156"/>
      <c r="D47" s="157"/>
      <c r="E47" s="156"/>
      <c r="F47" s="296">
        <f>IF(E47="","",E47-D47)</f>
      </c>
      <c r="G47" s="297">
        <f>IF(ISERROR(C47/F47),"",((C47/F47)*(T47/S47)))</f>
      </c>
      <c r="H47" s="298">
        <f>IF(ISERROR(G47*62.4),"",(G47*62.4))</f>
      </c>
      <c r="I47" s="297"/>
      <c r="J47" s="299"/>
      <c r="K47" s="300"/>
      <c r="L47" s="300"/>
      <c r="M47" s="300"/>
      <c r="N47" s="241"/>
      <c r="O47" s="241"/>
      <c r="P47" s="295">
        <f>IF(T47="","",((C47/F47)*(T47/R47))*100/I49)</f>
      </c>
      <c r="Q47" s="211"/>
      <c r="R47" s="160"/>
      <c r="S47" s="160"/>
      <c r="T47" s="160"/>
      <c r="U47" s="303">
        <f>IF(T47="","",((C47/F47)*(T47/T47))*100/I49)</f>
      </c>
      <c r="V47"/>
      <c r="W47" s="336">
        <f>(C47+C48)/2</f>
        <v>0</v>
      </c>
      <c r="X47" s="336">
        <f>IF(W47=0,"",(115/W48))</f>
      </c>
      <c r="Y47" s="485"/>
      <c r="Z47" s="485"/>
      <c r="AA47" s="485"/>
    </row>
    <row r="48" spans="1:27" ht="15.75" customHeight="1">
      <c r="A48" s="153" t="s">
        <v>998</v>
      </c>
      <c r="B48" s="23"/>
      <c r="C48" s="158"/>
      <c r="D48" s="159"/>
      <c r="E48" s="158"/>
      <c r="F48" s="20">
        <f>IF(E48="","",E48-D48)</f>
      </c>
      <c r="G48" s="675">
        <f>IF(ISERROR(C48/F48),"",((C48/F48)*(T48/S48)))</f>
      </c>
      <c r="H48" s="213">
        <f>IF(ISERROR(G48*62.4),"",(G48*62.4))</f>
      </c>
      <c r="I48" s="21"/>
      <c r="J48" s="18"/>
      <c r="K48" s="22"/>
      <c r="L48" s="22"/>
      <c r="M48" s="22"/>
      <c r="N48" s="227"/>
      <c r="O48" s="227"/>
      <c r="P48" s="212">
        <f>IF(T48="","",((C48/F48)*(T48/R48))*100/I49)</f>
      </c>
      <c r="Q48" s="23"/>
      <c r="R48" s="161"/>
      <c r="S48" s="161"/>
      <c r="T48" s="161"/>
      <c r="U48" s="304">
        <f>IF(T48="","",((C48/F48)*(T48/T48))*100/I49)</f>
      </c>
      <c r="V48"/>
      <c r="W48" s="336">
        <f>(S47+S48)/2</f>
        <v>0</v>
      </c>
      <c r="X48" s="336">
        <f>IF(W47=0,"",+X47*W47)</f>
      </c>
      <c r="Y48" s="485"/>
      <c r="Z48" s="485"/>
      <c r="AA48" s="485"/>
    </row>
    <row r="49" spans="1:32" ht="15.75" customHeight="1" thickBot="1">
      <c r="A49" s="39" t="s">
        <v>992</v>
      </c>
      <c r="B49" s="154"/>
      <c r="C49" s="26"/>
      <c r="D49" s="25"/>
      <c r="E49" s="33"/>
      <c r="F49" s="27"/>
      <c r="G49" s="28">
        <f>IF(G47="","",AVERAGE(G47:G48))</f>
      </c>
      <c r="H49" s="29">
        <f>IF(H47="","",AVERAGE(H47:H48))</f>
      </c>
      <c r="I49" s="28">
        <f>IF(B49="","",100/((B49/1.03)+((100-B49)/$O$24)))</f>
      </c>
      <c r="J49" s="29">
        <f>IF(I49="","",((I49-G49)/I49)*100)</f>
      </c>
      <c r="K49" s="30">
        <f>IF(B49="","",($O$24-$O$23)/($O$24*$O$23)*$O$25*(100-B49))</f>
      </c>
      <c r="L49" s="29">
        <f>IF(B49="","",(B49-K49))</f>
      </c>
      <c r="M49" s="29">
        <f>IF(B49="","",100-(G49*(100-B49)/$O$23))</f>
      </c>
      <c r="N49" s="246">
        <f>IF(M49="","",(100*(M49-J49)/M49))</f>
      </c>
      <c r="O49" s="228">
        <f>IF(L49="","",(10*((L49/100)/($H$98*(1-L49/100))/0.00003937)+0.5)/10)</f>
      </c>
      <c r="P49" s="29">
        <f>IF(P47="","",AVERAGE(P47:P48))</f>
      </c>
      <c r="Q49" s="210">
        <f>IF($L$49="","",($T$28/L49))</f>
      </c>
      <c r="R49" s="29"/>
      <c r="S49" s="29"/>
      <c r="T49" s="29"/>
      <c r="U49" s="208">
        <f>IF(U47="","",AVERAGE(U47:U48))</f>
      </c>
      <c r="V49"/>
      <c r="W49" s="485"/>
      <c r="X49" s="485"/>
      <c r="Y49" s="485"/>
      <c r="Z49" s="485"/>
      <c r="AA49" s="485"/>
      <c r="AB49" s="332"/>
      <c r="AC49" s="332"/>
      <c r="AD49" s="332"/>
      <c r="AE49" s="332"/>
      <c r="AF49" s="332"/>
    </row>
    <row r="50" spans="1:32" ht="18" customHeight="1" thickBot="1" thickTop="1">
      <c r="A50"/>
      <c r="B50"/>
      <c r="C50"/>
      <c r="D50"/>
      <c r="E50"/>
      <c r="F50"/>
      <c r="G50"/>
      <c r="H50"/>
      <c r="I50"/>
      <c r="J50"/>
      <c r="K50"/>
      <c r="L50"/>
      <c r="M50"/>
      <c r="N50"/>
      <c r="O50"/>
      <c r="P50"/>
      <c r="Q50"/>
      <c r="R50"/>
      <c r="S50"/>
      <c r="T50"/>
      <c r="U50"/>
      <c r="V50" s="17"/>
      <c r="W50" s="485"/>
      <c r="X50" s="485"/>
      <c r="Y50" s="485"/>
      <c r="Z50" s="1215"/>
      <c r="AA50" s="1209" t="s">
        <v>999</v>
      </c>
      <c r="AB50" s="1209"/>
      <c r="AC50" s="1209" t="s">
        <v>1000</v>
      </c>
      <c r="AD50" s="1210"/>
      <c r="AE50" s="1211" t="s">
        <v>2209</v>
      </c>
      <c r="AF50" s="1212" t="s">
        <v>1059</v>
      </c>
    </row>
    <row r="51" spans="1:36" ht="21.75" customHeight="1" thickBot="1" thickTop="1">
      <c r="A51" s="486" t="s">
        <v>1001</v>
      </c>
      <c r="B51" s="487"/>
      <c r="C51" s="488"/>
      <c r="D51" s="489"/>
      <c r="E51" s="490"/>
      <c r="F51" s="487"/>
      <c r="G51" s="487"/>
      <c r="H51" s="487"/>
      <c r="I51" s="488"/>
      <c r="J51" s="491"/>
      <c r="L51" s="243" t="s">
        <v>1002</v>
      </c>
      <c r="M51" s="166"/>
      <c r="N51" s="166"/>
      <c r="O51" s="244" t="s">
        <v>1003</v>
      </c>
      <c r="P51" s="166" t="s">
        <v>1004</v>
      </c>
      <c r="Q51" s="170"/>
      <c r="R51" s="9"/>
      <c r="S51" s="181" t="s">
        <v>1005</v>
      </c>
      <c r="T51" s="167"/>
      <c r="U51" s="180"/>
      <c r="W51" s="485"/>
      <c r="X51" s="485"/>
      <c r="Y51" s="485"/>
      <c r="Z51" s="1215"/>
      <c r="AA51" s="1213" t="s">
        <v>1006</v>
      </c>
      <c r="AB51" s="1213" t="s">
        <v>1007</v>
      </c>
      <c r="AC51" s="1213" t="s">
        <v>1006</v>
      </c>
      <c r="AD51" s="1213" t="s">
        <v>1007</v>
      </c>
      <c r="AE51" s="1213">
        <v>0.38</v>
      </c>
      <c r="AF51" s="1212">
        <v>15</v>
      </c>
      <c r="AG51" s="332"/>
      <c r="AH51" s="332"/>
      <c r="AI51" s="332"/>
      <c r="AJ51" s="332"/>
    </row>
    <row r="52" spans="1:36" ht="19.5" customHeight="1" thickTop="1">
      <c r="A52" s="492" t="s">
        <v>1008</v>
      </c>
      <c r="B52" s="493"/>
      <c r="C52" s="494"/>
      <c r="D52" s="495"/>
      <c r="E52" s="496"/>
      <c r="F52" s="493"/>
      <c r="G52" s="493"/>
      <c r="H52" s="493"/>
      <c r="I52" s="497"/>
      <c r="J52" s="498"/>
      <c r="L52" s="214" t="s">
        <v>1009</v>
      </c>
      <c r="M52" s="218"/>
      <c r="N52" s="218"/>
      <c r="O52" s="1446"/>
      <c r="P52" s="224">
        <f>IF(ISTEXT(H20),"",IF(K20="","ENTER",IF(OR(H20&lt;&gt;"",K20&lt;&gt;""),IF(H20&lt;=3,AA57,AB57),"")))</f>
      </c>
      <c r="Q52" s="260"/>
      <c r="R52" s="53"/>
      <c r="S52" s="185" t="s">
        <v>1010</v>
      </c>
      <c r="T52" s="1561">
        <f aca="true" t="shared" si="1" ref="T52:U54">IF($N$80="","","N/A")</f>
      </c>
      <c r="U52" s="1578">
        <f t="shared" si="1"/>
      </c>
      <c r="W52" s="485"/>
      <c r="X52" s="485"/>
      <c r="Y52" s="485"/>
      <c r="Z52" s="1215"/>
      <c r="AA52" s="1214" t="s">
        <v>1011</v>
      </c>
      <c r="AB52" s="1214" t="s">
        <v>1011</v>
      </c>
      <c r="AC52" s="1213" t="s">
        <v>1013</v>
      </c>
      <c r="AD52" s="1213" t="s">
        <v>1013</v>
      </c>
      <c r="AE52" s="1214">
        <v>0.5</v>
      </c>
      <c r="AF52" s="1212">
        <v>14</v>
      </c>
      <c r="AG52" s="332"/>
      <c r="AH52" s="332"/>
      <c r="AI52" s="332"/>
      <c r="AJ52" s="332"/>
    </row>
    <row r="53" spans="1:36" ht="19.5" customHeight="1" thickBot="1">
      <c r="A53" s="499" t="s">
        <v>1014</v>
      </c>
      <c r="B53" s="500"/>
      <c r="C53" s="501"/>
      <c r="D53" s="502"/>
      <c r="E53" s="503"/>
      <c r="F53" s="504"/>
      <c r="G53" s="504"/>
      <c r="H53" s="505"/>
      <c r="I53" s="506"/>
      <c r="J53" s="507"/>
      <c r="L53" s="215" t="s">
        <v>1015</v>
      </c>
      <c r="M53" s="218"/>
      <c r="N53" s="218"/>
      <c r="O53" s="253"/>
      <c r="P53" s="261">
        <f>IF(ISTEXT(H20),"",IF(K20="","DEPTH",IF(OR(H20&lt;&gt;"",K20&lt;&gt;""),IF(H20&lt;=3,AC57,AD57),"")))</f>
      </c>
      <c r="Q53" s="262"/>
      <c r="R53"/>
      <c r="S53" s="184" t="s">
        <v>1083</v>
      </c>
      <c r="T53" s="1579">
        <f t="shared" si="1"/>
      </c>
      <c r="U53" s="1580">
        <f t="shared" si="1"/>
      </c>
      <c r="W53" s="485"/>
      <c r="X53" s="485"/>
      <c r="Y53" s="485"/>
      <c r="Z53" s="1215"/>
      <c r="AA53" s="1214" t="s">
        <v>1011</v>
      </c>
      <c r="AB53" s="1214" t="s">
        <v>1011</v>
      </c>
      <c r="AC53" s="1213" t="s">
        <v>1013</v>
      </c>
      <c r="AD53" s="1213" t="s">
        <v>1013</v>
      </c>
      <c r="AE53" s="1213">
        <v>0.75</v>
      </c>
      <c r="AF53" s="1212">
        <v>13</v>
      </c>
      <c r="AG53" s="332"/>
      <c r="AH53" s="332"/>
      <c r="AI53" s="332"/>
      <c r="AJ53" s="332"/>
    </row>
    <row r="54" spans="1:36" ht="19.5" customHeight="1" thickBot="1" thickTop="1">
      <c r="A54" s="508"/>
      <c r="B54" s="509"/>
      <c r="C54" s="510"/>
      <c r="D54" s="764" t="str">
        <f>IF('Chart Data'!K48="M","Metric Tons =","English Tons =")</f>
        <v>English Tons =</v>
      </c>
      <c r="E54" s="487"/>
      <c r="F54" s="512"/>
      <c r="G54" s="513"/>
      <c r="H54" s="514"/>
      <c r="I54" s="509"/>
      <c r="J54" s="515"/>
      <c r="L54" s="214" t="s">
        <v>1018</v>
      </c>
      <c r="M54" s="218"/>
      <c r="N54" s="218"/>
      <c r="O54" s="254"/>
      <c r="P54" s="261">
        <f>IF(ISTEXT(H20),"",IF(K20="","FROM","10 (maximum)"))</f>
      </c>
      <c r="Q54" s="263"/>
      <c r="R54"/>
      <c r="S54" s="184" t="s">
        <v>1019</v>
      </c>
      <c r="T54" s="1569">
        <f t="shared" si="1"/>
      </c>
      <c r="U54" s="1581">
        <f t="shared" si="1"/>
      </c>
      <c r="W54" s="485"/>
      <c r="X54" s="485"/>
      <c r="Y54" s="485"/>
      <c r="Z54" s="1215"/>
      <c r="AA54" s="1214" t="s">
        <v>1020</v>
      </c>
      <c r="AB54" s="1214" t="s">
        <v>1021</v>
      </c>
      <c r="AC54" s="1213" t="s">
        <v>1022</v>
      </c>
      <c r="AD54" s="1213" t="s">
        <v>1013</v>
      </c>
      <c r="AE54" s="1213">
        <v>1</v>
      </c>
      <c r="AF54" s="1212">
        <v>12</v>
      </c>
      <c r="AG54" s="332"/>
      <c r="AH54" s="332"/>
      <c r="AI54" s="332"/>
      <c r="AJ54" s="332"/>
    </row>
    <row r="55" spans="1:36" ht="19.5" customHeight="1" thickBot="1" thickTop="1">
      <c r="A55" s="516" t="s">
        <v>1023</v>
      </c>
      <c r="B55" s="517" t="s">
        <v>1024</v>
      </c>
      <c r="C55" s="516" t="s">
        <v>1023</v>
      </c>
      <c r="D55" s="517" t="s">
        <v>1024</v>
      </c>
      <c r="E55" s="516" t="s">
        <v>1023</v>
      </c>
      <c r="F55" s="517" t="s">
        <v>1024</v>
      </c>
      <c r="G55" s="516" t="s">
        <v>1023</v>
      </c>
      <c r="H55" s="517" t="s">
        <v>1024</v>
      </c>
      <c r="I55" s="516" t="s">
        <v>1023</v>
      </c>
      <c r="J55" s="517" t="s">
        <v>1024</v>
      </c>
      <c r="K55"/>
      <c r="L55" s="214" t="s">
        <v>1025</v>
      </c>
      <c r="M55" s="218"/>
      <c r="N55" s="218"/>
      <c r="O55" s="253"/>
      <c r="P55" s="261">
        <f>IF(ISTEXT(H20),"",IF(K20="","SURFACE",IF(H20&lt;4,"45 (minimum)",IF(H20=4,"50 (minimum)",""))))</f>
      </c>
      <c r="Q55" s="264"/>
      <c r="R55"/>
      <c r="S55" s="183" t="s">
        <v>1026</v>
      </c>
      <c r="T55" s="182"/>
      <c r="U55" s="1246">
        <f>IF($N$80="","","N/A")</f>
      </c>
      <c r="W55" s="485"/>
      <c r="X55" s="485"/>
      <c r="Y55" s="485"/>
      <c r="Z55" s="1215"/>
      <c r="AA55" s="1214" t="s">
        <v>1027</v>
      </c>
      <c r="AB55" s="1214" t="s">
        <v>1027</v>
      </c>
      <c r="AC55" s="1213" t="s">
        <v>1022</v>
      </c>
      <c r="AD55" s="1213" t="s">
        <v>1022</v>
      </c>
      <c r="AE55" s="1213">
        <v>1.5</v>
      </c>
      <c r="AF55" s="1212">
        <v>11</v>
      </c>
      <c r="AG55" s="332"/>
      <c r="AH55" s="332"/>
      <c r="AI55" s="332"/>
      <c r="AJ55" s="332"/>
    </row>
    <row r="56" spans="1:36" ht="19.5" customHeight="1" thickBot="1" thickTop="1">
      <c r="A56" s="777"/>
      <c r="B56" s="778"/>
      <c r="C56" s="779"/>
      <c r="D56" s="780"/>
      <c r="E56" s="779"/>
      <c r="F56" s="781"/>
      <c r="G56" s="779"/>
      <c r="H56" s="780"/>
      <c r="I56" s="779"/>
      <c r="J56" s="780"/>
      <c r="K56" s="766"/>
      <c r="L56" s="214" t="s">
        <v>974</v>
      </c>
      <c r="M56" s="218"/>
      <c r="N56" s="218"/>
      <c r="O56" s="749">
        <f>IF(AND(Graphs!K77="",N34=""),"",IF(AND(Graphs!K77="",N34&lt;&gt;0),N34,Graphs!K77))</f>
      </c>
      <c r="P56" s="1586">
        <f>IF(H20="N/A","",IF(AND(H20=1,'Chart Data'!J48=1.5),"64 - 80",IF(AND(H20=2,'Chart Data'!J48=1.5),"64 - 78",IF(AND(H20=3,'Chart Data'!J48=1.5),"64 - 75",IF(AND(H20=4,'Chart Data'!J48=1.5),"64 - 75",V56)))))</f>
      </c>
      <c r="Q56" s="1587"/>
      <c r="R56"/>
      <c r="S56" s="183" t="s">
        <v>1028</v>
      </c>
      <c r="T56" s="182"/>
      <c r="U56" s="1221">
        <f>IF($N$80="","","N/A")</f>
      </c>
      <c r="V56" s="1222">
        <f>IF(AND(H20=1,'Chart Data'!J48=1),"67 - 80",IF(H20=1,"70 - 80",IF(H20=2,"65 - 78",IF(AND(H20=3,'Chart Data'!J48=0.38),"73 - 76",IF(H20=3,"65 - 75",IF('Chart Data'!J48=0.38,"73 - 76",IF(AND('Chart Data'!J48&gt;0.38,'Chart Data'!J48&lt;=1.5),"65 - 75","")))))))</f>
      </c>
      <c r="W56" s="485"/>
      <c r="X56" s="485"/>
      <c r="Y56" s="485"/>
      <c r="Z56" s="1215"/>
      <c r="AA56" s="1215"/>
      <c r="AB56" s="1215"/>
      <c r="AC56" s="1215"/>
      <c r="AD56" s="1215"/>
      <c r="AE56" s="1213"/>
      <c r="AF56" s="1212"/>
      <c r="AG56" s="332"/>
      <c r="AH56" s="332"/>
      <c r="AI56" s="332"/>
      <c r="AJ56" s="332"/>
    </row>
    <row r="57" spans="1:36" ht="19.5" customHeight="1" thickBot="1" thickTop="1">
      <c r="A57" s="777"/>
      <c r="B57" s="780"/>
      <c r="C57" s="779"/>
      <c r="D57" s="780"/>
      <c r="E57" s="779"/>
      <c r="F57" s="780"/>
      <c r="G57" s="779"/>
      <c r="H57" s="780"/>
      <c r="I57" s="779"/>
      <c r="J57" s="780"/>
      <c r="K57" s="766"/>
      <c r="L57" s="214" t="s">
        <v>973</v>
      </c>
      <c r="M57" s="218"/>
      <c r="N57" s="218"/>
      <c r="O57" s="749">
        <f>IF(AND(Graphs!K26="",M34=""),"",IF(AND(Graphs!K26="",M34&lt;&gt;0),M34,Graphs!K26))</f>
      </c>
      <c r="P57" s="224">
        <f>IF(ISTEXT(H20),"",IF('Chart Data'!W14="Bid Item Not In Drop-Down List",CONCATENATE('Chart Data'!X17&amp;" (minimum)"),IF(AF57="","",CONCATENATE(AF57&amp;".0 (minimum)"))))</f>
      </c>
      <c r="Q57" s="223"/>
      <c r="R57"/>
      <c r="S57" s="183" t="s">
        <v>1029</v>
      </c>
      <c r="T57" s="182"/>
      <c r="U57" s="186">
        <f>IF($N$80="","","N/A")</f>
      </c>
      <c r="W57" s="485"/>
      <c r="X57" s="485"/>
      <c r="Y57" s="485"/>
      <c r="Z57" s="1215"/>
      <c r="AA57" s="1216">
        <f>IF(AND(H20=1,K20&lt;=100),AA52,IF(AND(H20=1,K20&gt;100),AB52,IF(AND(H20=2,K20&lt;=100),AA53,IF(AND(H20=2,K20&gt;100),AB53,IF(AND(H20=3,K20&lt;=100),AA54,IF(AND(H20=3,K20&gt;100),AB54,""))))))</f>
      </c>
      <c r="AB57" s="1216" t="b">
        <f>IF(AND(H20=4,K20&lt;=100),AA55,IF(AND(H20=4,K20&gt;100),AB55))</f>
        <v>0</v>
      </c>
      <c r="AC57" s="1216">
        <f>IF(AND(H20=1,K20&lt;=100),AC52,IF(AND(H20=1,K20&gt;100),AD52,IF(AND(H20=2,K20&lt;=100),AC53,IF(AND(H20=2,K20&gt;100),AD53,IF(AND(H20=3,K20&lt;=100),AC54,IF(AND(H20=3,K20&gt;100),AD54,""))))))</f>
      </c>
      <c r="AD57" s="1216" t="b">
        <f>IF(AND(H20=4,K20&lt;=100),AC55,IF(AND(H20=4,K20&gt;100),AD55))</f>
        <v>0</v>
      </c>
      <c r="AE57" s="1213"/>
      <c r="AF57" s="1212">
        <f>IF(ISNUMBER('Chart Data'!J48),VLOOKUP('Chart Data'!J48,'Design Data'!AE51:AF55,2,FALSE),"")</f>
      </c>
      <c r="AG57" s="332"/>
      <c r="AH57" s="332"/>
      <c r="AI57" s="332"/>
      <c r="AJ57" s="332"/>
    </row>
    <row r="58" spans="1:36" ht="19.5" customHeight="1" thickBot="1" thickTop="1">
      <c r="A58" s="777"/>
      <c r="B58" s="780"/>
      <c r="C58" s="779"/>
      <c r="D58" s="780"/>
      <c r="E58" s="779"/>
      <c r="F58" s="780"/>
      <c r="G58" s="779"/>
      <c r="H58" s="780"/>
      <c r="I58" s="779"/>
      <c r="J58" s="780"/>
      <c r="K58" s="766"/>
      <c r="L58" s="214" t="s">
        <v>1030</v>
      </c>
      <c r="M58" s="218"/>
      <c r="N58" s="218"/>
      <c r="O58" s="749">
        <f>IF(AND(Graphs!K140="",Q34=""),"",IF(AND(Graphs!K140="",Q34&lt;&gt;0),Q34,Graphs!K140))</f>
      </c>
      <c r="P58" s="225">
        <f>IF(ISNUMBER(H20),"0.8 - 1.6","")</f>
      </c>
      <c r="Q58" s="221"/>
      <c r="R58"/>
      <c r="S58" s="1582">
        <f>IF($N$80="","","(Other information)")</f>
      </c>
      <c r="T58" s="1583">
        <f>IF($N$80="","","(Other information)")</f>
      </c>
      <c r="U58" s="1584">
        <f>IF($N$80="","","(Other information)")</f>
      </c>
      <c r="W58" s="332"/>
      <c r="X58" s="332"/>
      <c r="Y58" s="332"/>
      <c r="Z58" s="332"/>
      <c r="AA58" s="485"/>
      <c r="AB58" s="485"/>
      <c r="AC58" s="485"/>
      <c r="AD58" s="485"/>
      <c r="AE58" s="333"/>
      <c r="AF58" s="332"/>
      <c r="AG58" s="332"/>
      <c r="AH58" s="332"/>
      <c r="AI58" s="332"/>
      <c r="AJ58" s="332"/>
    </row>
    <row r="59" spans="1:36" ht="19.5" customHeight="1" thickBot="1" thickTop="1">
      <c r="A59" s="777"/>
      <c r="B59" s="780"/>
      <c r="C59" s="779"/>
      <c r="D59" s="780"/>
      <c r="E59" s="779"/>
      <c r="F59" s="780"/>
      <c r="G59" s="779"/>
      <c r="H59" s="780"/>
      <c r="I59" s="779"/>
      <c r="J59" s="780"/>
      <c r="K59"/>
      <c r="L59" s="214" t="s">
        <v>1031</v>
      </c>
      <c r="M59" s="218"/>
      <c r="N59" s="218"/>
      <c r="O59" s="1462">
        <f>IF(AND(Graphs!K20="",P34=""),"",IF(AND(Graphs!K20="",P34&lt;&gt;0),P34,Graphs!K20))</f>
      </c>
      <c r="P59" s="261">
        <f>IF(ISTEXT(H20),"",IF(K20="","",IF(H20=1,"91.5 (maximum)",IF(H20=2,"90.5 (maximum)","89.0 (maximum)"))))</f>
      </c>
      <c r="Q59" s="222"/>
      <c r="S59"/>
      <c r="T59"/>
      <c r="U59"/>
      <c r="W59" s="332"/>
      <c r="X59" s="332"/>
      <c r="Y59" s="332"/>
      <c r="Z59" s="332"/>
      <c r="AA59" s="332"/>
      <c r="AB59" s="332"/>
      <c r="AC59" s="332"/>
      <c r="AD59" s="332"/>
      <c r="AE59" s="332"/>
      <c r="AF59" s="332"/>
      <c r="AG59" s="332"/>
      <c r="AH59" s="332"/>
      <c r="AI59" s="332"/>
      <c r="AJ59" s="332"/>
    </row>
    <row r="60" spans="1:36" ht="19.5" customHeight="1" thickBot="1" thickTop="1">
      <c r="A60" s="777"/>
      <c r="B60" s="780"/>
      <c r="C60" s="779"/>
      <c r="D60" s="780"/>
      <c r="E60" s="779"/>
      <c r="F60" s="780"/>
      <c r="G60" s="779"/>
      <c r="H60" s="780"/>
      <c r="I60" s="779"/>
      <c r="J60" s="780"/>
      <c r="K60"/>
      <c r="L60" s="214" t="s">
        <v>1032</v>
      </c>
      <c r="M60" s="218"/>
      <c r="N60" s="218"/>
      <c r="O60" s="749">
        <f>U49</f>
      </c>
      <c r="P60" s="261">
        <f>IF(ISTEXT(H20),"",IF(K20="","","98.0 (maximum)"))</f>
      </c>
      <c r="Q60" s="222"/>
      <c r="R60"/>
      <c r="S60" s="175" t="s">
        <v>923</v>
      </c>
      <c r="T60" s="176" t="s">
        <v>924</v>
      </c>
      <c r="U60" s="177" t="s">
        <v>1033</v>
      </c>
      <c r="W60" s="485"/>
      <c r="X60" s="485"/>
      <c r="Y60" s="485"/>
      <c r="Z60" s="332"/>
      <c r="AA60" s="485"/>
      <c r="AB60" s="485"/>
      <c r="AC60" s="485"/>
      <c r="AD60" s="485"/>
      <c r="AE60" s="335"/>
      <c r="AF60" s="332"/>
      <c r="AG60" s="332"/>
      <c r="AH60" s="332"/>
      <c r="AI60" s="332"/>
      <c r="AJ60" s="332"/>
    </row>
    <row r="61" spans="1:36" ht="19.5" customHeight="1" thickBot="1" thickTop="1">
      <c r="A61" s="777"/>
      <c r="B61" s="780"/>
      <c r="C61" s="779"/>
      <c r="D61" s="780"/>
      <c r="E61" s="779"/>
      <c r="F61" s="780"/>
      <c r="G61" s="779"/>
      <c r="H61" s="780"/>
      <c r="I61" s="779"/>
      <c r="J61" s="780"/>
      <c r="K61"/>
      <c r="L61" s="214" t="s">
        <v>1034</v>
      </c>
      <c r="M61" s="218"/>
      <c r="N61" s="218"/>
      <c r="O61" s="749">
        <f>IF(AND(Graphs!K23="",J34=""),"",IF(AND(Graphs!K23="",J34&lt;&gt;0),J34,Graphs!K23))</f>
      </c>
      <c r="P61" s="226">
        <f>IF(ISNUMBER(H20),4,"")</f>
      </c>
      <c r="Q61" s="220"/>
      <c r="R61"/>
      <c r="S61" s="179" t="str">
        <f aca="true" t="shared" si="2" ref="S61:S74">S15</f>
        <v>2 "</v>
      </c>
      <c r="T61" s="101">
        <f aca="true" t="shared" si="3" ref="T61:T68">IF(T15="","",T15)</f>
        <v>100</v>
      </c>
      <c r="U61" s="178">
        <v>100</v>
      </c>
      <c r="W61" s="485"/>
      <c r="X61" s="485"/>
      <c r="Y61" s="485"/>
      <c r="Z61" s="332"/>
      <c r="AA61" s="332"/>
      <c r="AB61" s="332"/>
      <c r="AC61" s="332"/>
      <c r="AD61" s="332"/>
      <c r="AE61" s="332"/>
      <c r="AF61" s="332"/>
      <c r="AG61" s="332"/>
      <c r="AH61" s="332"/>
      <c r="AI61" s="332"/>
      <c r="AJ61" s="332"/>
    </row>
    <row r="62" spans="1:36" ht="19.5" customHeight="1" thickBot="1" thickTop="1">
      <c r="A62" s="777"/>
      <c r="B62" s="780"/>
      <c r="C62" s="779"/>
      <c r="D62" s="780"/>
      <c r="E62" s="779"/>
      <c r="F62" s="780"/>
      <c r="G62" s="779"/>
      <c r="H62" s="780"/>
      <c r="I62" s="779"/>
      <c r="J62" s="780"/>
      <c r="K62"/>
      <c r="L62" s="214" t="s">
        <v>1035</v>
      </c>
      <c r="M62" s="218"/>
      <c r="N62" s="218"/>
      <c r="O62" s="749">
        <f>IF(AND(Graphs!K80="",H34=""),"",IF(AND(Graphs!K80="",H34&lt;&gt;0),H34,Graphs!K80))</f>
      </c>
      <c r="P62" s="224"/>
      <c r="Q62" s="220"/>
      <c r="R62"/>
      <c r="S62" s="66" t="str">
        <f t="shared" si="2"/>
        <v>1 1/2 "</v>
      </c>
      <c r="T62" s="101">
        <f t="shared" si="3"/>
      </c>
      <c r="U62" s="256"/>
      <c r="W62" s="485"/>
      <c r="X62" s="485"/>
      <c r="Y62" s="485"/>
      <c r="Z62" s="332"/>
      <c r="AA62" s="332"/>
      <c r="AB62" s="332"/>
      <c r="AC62" s="332"/>
      <c r="AD62" s="332"/>
      <c r="AE62" s="332"/>
      <c r="AF62" s="332"/>
      <c r="AG62" s="332"/>
      <c r="AH62" s="332"/>
      <c r="AI62" s="332"/>
      <c r="AJ62" s="332"/>
    </row>
    <row r="63" spans="1:32" ht="19.5" customHeight="1" thickBot="1" thickTop="1">
      <c r="A63" s="777"/>
      <c r="B63" s="780"/>
      <c r="C63" s="779"/>
      <c r="D63" s="780"/>
      <c r="E63" s="779"/>
      <c r="F63" s="780"/>
      <c r="G63" s="779"/>
      <c r="H63" s="780"/>
      <c r="I63" s="779"/>
      <c r="J63" s="780"/>
      <c r="K63"/>
      <c r="L63" s="216" t="s">
        <v>964</v>
      </c>
      <c r="M63" s="218"/>
      <c r="N63" s="218"/>
      <c r="O63" s="749">
        <f>IF(AND(Graphs!K17="",B34=""),"",IF(AND(Graphs!K17="",B34&lt;&gt;0),B34,Graphs!K17))</f>
      </c>
      <c r="P63" s="771">
        <f>IF(AND(ISNUMBER(H20),'Chart Data'!J48=0.5,O63&lt;5,'Chart Data'!H48&lt;&gt;20550),"AC% OUT OF SPEC.",IF(AND(ISNUMBER(H20),'Chart Data'!J48=0.38,O63&lt;5.3),"AC% OUT OF SPEC.",""))</f>
      </c>
      <c r="Q63" s="220"/>
      <c r="R63"/>
      <c r="S63" s="66" t="str">
        <f t="shared" si="2"/>
        <v>1 "</v>
      </c>
      <c r="T63" s="101">
        <f t="shared" si="3"/>
      </c>
      <c r="U63" s="256"/>
      <c r="W63"/>
      <c r="X63"/>
      <c r="Y63"/>
      <c r="AA63" s="332"/>
      <c r="AB63" s="332"/>
      <c r="AC63" s="332"/>
      <c r="AD63" s="332"/>
      <c r="AE63" s="332"/>
      <c r="AF63" s="332"/>
    </row>
    <row r="64" spans="1:32" ht="19.5" customHeight="1" thickBot="1" thickTop="1">
      <c r="A64" s="777"/>
      <c r="B64" s="780"/>
      <c r="C64" s="779"/>
      <c r="D64" s="780"/>
      <c r="E64" s="779"/>
      <c r="F64" s="780"/>
      <c r="G64" s="779"/>
      <c r="H64" s="780"/>
      <c r="I64" s="779"/>
      <c r="J64" s="780"/>
      <c r="K64"/>
      <c r="L64" s="217" t="s">
        <v>1036</v>
      </c>
      <c r="M64" s="218"/>
      <c r="N64" s="218"/>
      <c r="O64" s="749">
        <f>Graphs!K134</f>
      </c>
      <c r="P64" s="1456">
        <f>IF('Chart Data'!BK9="NO","See Recycle Data Tab","")</f>
      </c>
      <c r="Q64" s="220"/>
      <c r="R64"/>
      <c r="S64" s="66" t="str">
        <f t="shared" si="2"/>
        <v>3/4 "</v>
      </c>
      <c r="T64" s="101">
        <f t="shared" si="3"/>
      </c>
      <c r="U64" s="256"/>
      <c r="W64"/>
      <c r="X64"/>
      <c r="Y64"/>
      <c r="AA64" s="332"/>
      <c r="AB64" s="332"/>
      <c r="AC64" s="332"/>
      <c r="AD64" s="332"/>
      <c r="AE64" s="332"/>
      <c r="AF64" s="332"/>
    </row>
    <row r="65" spans="1:32" ht="19.5" customHeight="1" thickBot="1" thickTop="1">
      <c r="A65" s="777"/>
      <c r="B65" s="780"/>
      <c r="C65" s="779"/>
      <c r="D65" s="780"/>
      <c r="E65" s="779"/>
      <c r="F65" s="780"/>
      <c r="G65" s="779"/>
      <c r="H65" s="780"/>
      <c r="I65" s="779"/>
      <c r="J65" s="780"/>
      <c r="K65"/>
      <c r="L65" s="216" t="s">
        <v>1037</v>
      </c>
      <c r="M65" s="218"/>
      <c r="N65" s="218"/>
      <c r="O65" s="1463">
        <f>IF(AND(Graphs!K83="",I34=""),"",IF(AND(Graphs!K83="",I34&lt;&gt;0),I34,Graphs!K83))</f>
      </c>
      <c r="P65" s="224"/>
      <c r="Q65" s="220"/>
      <c r="R65"/>
      <c r="S65" s="66" t="str">
        <f t="shared" si="2"/>
        <v>1/2 "</v>
      </c>
      <c r="T65" s="101">
        <f t="shared" si="3"/>
      </c>
      <c r="U65" s="256"/>
      <c r="W65"/>
      <c r="X65"/>
      <c r="Y65"/>
      <c r="AA65" s="332"/>
      <c r="AB65" s="332"/>
      <c r="AC65" s="332"/>
      <c r="AD65" s="332"/>
      <c r="AE65" s="332"/>
      <c r="AF65" s="332"/>
    </row>
    <row r="66" spans="1:32" ht="19.5" customHeight="1" thickBot="1" thickTop="1">
      <c r="A66" s="779"/>
      <c r="B66" s="780"/>
      <c r="C66" s="779"/>
      <c r="D66" s="780"/>
      <c r="E66" s="779"/>
      <c r="F66" s="780"/>
      <c r="G66" s="779"/>
      <c r="H66" s="780"/>
      <c r="I66" s="779"/>
      <c r="J66" s="780"/>
      <c r="K66"/>
      <c r="L66" s="217" t="s">
        <v>1038</v>
      </c>
      <c r="M66" s="218"/>
      <c r="N66" s="218"/>
      <c r="O66" s="1464">
        <f>IF(AND(K49="",K34=""),"",IF(K49="",K34,K49))</f>
      </c>
      <c r="P66" s="224"/>
      <c r="Q66" s="220"/>
      <c r="R66"/>
      <c r="S66" s="66" t="str">
        <f t="shared" si="2"/>
        <v>3/8 "</v>
      </c>
      <c r="T66" s="101">
        <f t="shared" si="3"/>
      </c>
      <c r="U66" s="256"/>
      <c r="W66"/>
      <c r="X66"/>
      <c r="Y66"/>
      <c r="AA66" s="332"/>
      <c r="AB66" s="332"/>
      <c r="AC66" s="332"/>
      <c r="AD66" s="332"/>
      <c r="AE66" s="332"/>
      <c r="AF66" s="332"/>
    </row>
    <row r="67" spans="1:32" ht="19.5" customHeight="1" thickBot="1" thickTop="1">
      <c r="A67" s="779"/>
      <c r="B67" s="780"/>
      <c r="C67" s="779"/>
      <c r="D67" s="780"/>
      <c r="E67" s="779"/>
      <c r="F67" s="780"/>
      <c r="G67" s="779"/>
      <c r="H67" s="780"/>
      <c r="I67" s="779"/>
      <c r="J67" s="780"/>
      <c r="K67"/>
      <c r="L67" s="214" t="s">
        <v>1039</v>
      </c>
      <c r="M67" s="218"/>
      <c r="N67" s="218"/>
      <c r="O67" s="1464">
        <f>O23</f>
      </c>
      <c r="P67" s="224"/>
      <c r="Q67" s="221"/>
      <c r="R67"/>
      <c r="S67" s="66" t="str">
        <f t="shared" si="2"/>
        <v>1/4 "</v>
      </c>
      <c r="T67" s="101" t="str">
        <f t="shared" si="3"/>
        <v>N / A</v>
      </c>
      <c r="U67" s="730" t="str">
        <f>T67</f>
        <v>N / A</v>
      </c>
      <c r="W67"/>
      <c r="X67"/>
      <c r="Y67"/>
      <c r="AA67" s="332"/>
      <c r="AB67" s="332"/>
      <c r="AC67" s="332"/>
      <c r="AD67" s="332"/>
      <c r="AE67" s="332"/>
      <c r="AF67" s="332"/>
    </row>
    <row r="68" spans="1:32" ht="19.5" customHeight="1" thickBot="1" thickTop="1">
      <c r="A68" s="779"/>
      <c r="B68" s="780"/>
      <c r="C68" s="779"/>
      <c r="D68" s="780"/>
      <c r="E68" s="779"/>
      <c r="F68" s="780"/>
      <c r="G68" s="779"/>
      <c r="H68" s="780"/>
      <c r="I68" s="779"/>
      <c r="J68" s="780"/>
      <c r="K68"/>
      <c r="L68" s="214" t="s">
        <v>1040</v>
      </c>
      <c r="M68" s="218"/>
      <c r="N68" s="218"/>
      <c r="O68" s="1465">
        <f>O24</f>
      </c>
      <c r="P68" s="224"/>
      <c r="Q68" s="220"/>
      <c r="R68"/>
      <c r="S68" s="71" t="str">
        <f t="shared" si="2"/>
        <v>#4</v>
      </c>
      <c r="T68" s="101">
        <f t="shared" si="3"/>
      </c>
      <c r="U68" s="255"/>
      <c r="W68"/>
      <c r="X68"/>
      <c r="Y68"/>
      <c r="AA68" s="332"/>
      <c r="AB68" s="332"/>
      <c r="AC68" s="332"/>
      <c r="AD68" s="332"/>
      <c r="AE68" s="332"/>
      <c r="AF68" s="332"/>
    </row>
    <row r="69" spans="1:32" ht="19.5" customHeight="1" thickBot="1" thickTop="1">
      <c r="A69" s="779"/>
      <c r="B69" s="780"/>
      <c r="C69" s="779"/>
      <c r="D69" s="780"/>
      <c r="E69" s="779"/>
      <c r="F69" s="780"/>
      <c r="G69" s="779"/>
      <c r="H69" s="780"/>
      <c r="I69" s="779"/>
      <c r="J69" s="780"/>
      <c r="K69"/>
      <c r="L69" s="214" t="s">
        <v>1041</v>
      </c>
      <c r="M69" s="218"/>
      <c r="N69" s="218"/>
      <c r="O69" s="749">
        <f>IF(AND(Graphs!K137="",O34=""),"",IF(AND(Graphs!K137="",O34&lt;&gt;0),O34,Graphs!K137))</f>
      </c>
      <c r="P69" s="224"/>
      <c r="Q69" s="220"/>
      <c r="R69"/>
      <c r="S69" s="71" t="str">
        <f t="shared" si="2"/>
        <v>#8</v>
      </c>
      <c r="T69" s="101">
        <f aca="true" t="shared" si="4" ref="T69:T74">IF(T23="","",T23)</f>
      </c>
      <c r="U69" s="255"/>
      <c r="W69"/>
      <c r="X69"/>
      <c r="Y69"/>
      <c r="AA69" s="332"/>
      <c r="AB69" s="332"/>
      <c r="AC69" s="332"/>
      <c r="AD69" s="332"/>
      <c r="AE69" s="332"/>
      <c r="AF69" s="332"/>
    </row>
    <row r="70" spans="1:25" ht="19.5" customHeight="1" thickBot="1" thickTop="1">
      <c r="A70" s="779"/>
      <c r="B70" s="780"/>
      <c r="C70" s="779"/>
      <c r="D70" s="780"/>
      <c r="E70" s="779"/>
      <c r="F70" s="780"/>
      <c r="G70" s="779"/>
      <c r="H70" s="780"/>
      <c r="I70" s="779"/>
      <c r="J70" s="780"/>
      <c r="K70"/>
      <c r="L70" s="214" t="s">
        <v>1042</v>
      </c>
      <c r="M70" s="218"/>
      <c r="N70" s="218"/>
      <c r="O70" s="253">
        <f>IF(X48="","",X48)</f>
      </c>
      <c r="P70" s="224"/>
      <c r="Q70" s="221"/>
      <c r="R70"/>
      <c r="S70" s="71" t="str">
        <f t="shared" si="2"/>
        <v>#16</v>
      </c>
      <c r="T70" s="101">
        <f t="shared" si="4"/>
      </c>
      <c r="U70" s="255"/>
      <c r="W70"/>
      <c r="X70"/>
      <c r="Y70"/>
    </row>
    <row r="71" spans="1:25" ht="19.5" customHeight="1" thickBot="1" thickTop="1">
      <c r="A71" s="779"/>
      <c r="B71" s="780"/>
      <c r="C71" s="779"/>
      <c r="D71" s="780"/>
      <c r="E71" s="779"/>
      <c r="F71" s="780"/>
      <c r="G71" s="779"/>
      <c r="H71" s="780"/>
      <c r="I71" s="779"/>
      <c r="J71" s="780"/>
      <c r="K71"/>
      <c r="L71" s="232" t="s">
        <v>1043</v>
      </c>
      <c r="M71" s="218"/>
      <c r="N71" s="538"/>
      <c r="O71" s="539"/>
      <c r="P71" s="540"/>
      <c r="Q71" s="541"/>
      <c r="R71"/>
      <c r="S71" s="67" t="str">
        <f t="shared" si="2"/>
        <v>#30</v>
      </c>
      <c r="T71" s="101">
        <f t="shared" si="4"/>
      </c>
      <c r="U71" s="255"/>
      <c r="W71"/>
      <c r="X71"/>
      <c r="Y71"/>
    </row>
    <row r="72" spans="1:25" ht="19.5" customHeight="1" thickBot="1" thickTop="1">
      <c r="A72" s="779"/>
      <c r="B72" s="780"/>
      <c r="C72" s="779"/>
      <c r="D72" s="780"/>
      <c r="E72" s="779"/>
      <c r="F72" s="780"/>
      <c r="G72" s="779"/>
      <c r="H72" s="780"/>
      <c r="I72" s="779"/>
      <c r="J72" s="780"/>
      <c r="K72"/>
      <c r="L72" s="214" t="s">
        <v>1044</v>
      </c>
      <c r="M72" s="218"/>
      <c r="N72" s="218"/>
      <c r="O72" s="253">
        <f>TSR!G57</f>
      </c>
      <c r="P72" s="224">
        <f>IF(ISNUMBER(H20),"80 (minimum)","")</f>
      </c>
      <c r="Q72" s="221"/>
      <c r="R72"/>
      <c r="S72" s="67" t="str">
        <f t="shared" si="2"/>
        <v>#50</v>
      </c>
      <c r="T72" s="101">
        <f t="shared" si="4"/>
      </c>
      <c r="U72" s="255"/>
      <c r="W72"/>
      <c r="X72"/>
      <c r="Y72"/>
    </row>
    <row r="73" spans="1:25" ht="19.5" customHeight="1" thickBot="1" thickTop="1">
      <c r="A73" s="779"/>
      <c r="B73" s="780"/>
      <c r="C73" s="779"/>
      <c r="D73" s="780"/>
      <c r="E73" s="779"/>
      <c r="F73" s="780"/>
      <c r="G73" s="779"/>
      <c r="H73" s="780"/>
      <c r="I73" s="779"/>
      <c r="J73" s="780"/>
      <c r="K73"/>
      <c r="L73" s="214" t="s">
        <v>1045</v>
      </c>
      <c r="M73" s="218"/>
      <c r="N73" s="218"/>
      <c r="O73" s="253">
        <f>TSR!N57</f>
      </c>
      <c r="P73" s="224">
        <f>IF(ISNUMBER(H20),"80 (minimum)","")</f>
      </c>
      <c r="Q73" s="220"/>
      <c r="R73"/>
      <c r="S73" s="67" t="str">
        <f t="shared" si="2"/>
        <v>#100</v>
      </c>
      <c r="T73" s="101">
        <f t="shared" si="4"/>
      </c>
      <c r="U73" s="255"/>
      <c r="W73"/>
      <c r="X73"/>
      <c r="Y73"/>
    </row>
    <row r="74" spans="1:25" ht="19.5" customHeight="1" thickBot="1" thickTop="1">
      <c r="A74" s="779"/>
      <c r="B74" s="780"/>
      <c r="C74" s="779"/>
      <c r="D74" s="780"/>
      <c r="E74" s="779"/>
      <c r="F74" s="780"/>
      <c r="G74" s="779"/>
      <c r="H74" s="780"/>
      <c r="I74" s="779"/>
      <c r="J74" s="780"/>
      <c r="K74"/>
      <c r="L74" s="232" t="s">
        <v>1046</v>
      </c>
      <c r="M74" s="218"/>
      <c r="N74" s="218"/>
      <c r="O74" s="543">
        <f>IF(TSR!G18="","",IF(TSR!H18="","N/A",TSR!H18))</f>
      </c>
      <c r="P74" s="540"/>
      <c r="Q74" s="541"/>
      <c r="R74"/>
      <c r="S74" s="72" t="str">
        <f t="shared" si="2"/>
        <v>#200</v>
      </c>
      <c r="T74" s="105">
        <f t="shared" si="4"/>
      </c>
      <c r="U74" s="257"/>
      <c r="W74"/>
      <c r="X74"/>
      <c r="Y74"/>
    </row>
    <row r="75" spans="1:21" ht="19.5" customHeight="1" thickBot="1" thickTop="1">
      <c r="A75" s="779"/>
      <c r="B75" s="780"/>
      <c r="C75" s="779"/>
      <c r="D75" s="780"/>
      <c r="E75" s="779"/>
      <c r="F75" s="780"/>
      <c r="G75" s="779"/>
      <c r="H75" s="780"/>
      <c r="I75" s="779"/>
      <c r="J75" s="780"/>
      <c r="K75"/>
      <c r="L75" s="542" t="s">
        <v>1047</v>
      </c>
      <c r="M75" s="219"/>
      <c r="N75" s="219"/>
      <c r="O75" s="1575">
        <f>IF(TSR!G18="","",IF(TSR!G20="","None Required",TSR!G20))</f>
      </c>
      <c r="P75" s="1576"/>
      <c r="Q75" s="1577"/>
      <c r="R75"/>
      <c r="S75"/>
      <c r="T75"/>
      <c r="U75"/>
    </row>
    <row r="76" spans="1:21" ht="19.5" customHeight="1" thickBot="1" thickTop="1">
      <c r="A76" s="779"/>
      <c r="B76" s="780"/>
      <c r="C76" s="779"/>
      <c r="D76" s="780"/>
      <c r="E76" s="779"/>
      <c r="F76" s="780"/>
      <c r="G76" s="779"/>
      <c r="H76" s="780"/>
      <c r="I76" s="779"/>
      <c r="J76" s="780"/>
      <c r="K76"/>
      <c r="L76" s="798" t="s">
        <v>1048</v>
      </c>
      <c r="M76" s="1470"/>
      <c r="N76" s="1470"/>
      <c r="O76" s="1470"/>
      <c r="P76" s="1470"/>
      <c r="Q76" s="1471"/>
      <c r="R76"/>
      <c r="S76" s="549">
        <f>IF(I29="","","Recycle Information")</f>
      </c>
      <c r="T76" s="166"/>
      <c r="U76" s="548"/>
    </row>
    <row r="77" spans="1:28" ht="19.5" customHeight="1" thickBot="1" thickTop="1">
      <c r="A77" s="779"/>
      <c r="B77" s="780"/>
      <c r="C77" s="779"/>
      <c r="D77" s="780"/>
      <c r="E77" s="779"/>
      <c r="F77" s="780"/>
      <c r="G77" s="779"/>
      <c r="H77" s="780"/>
      <c r="I77" s="779"/>
      <c r="J77" s="780"/>
      <c r="K77"/>
      <c r="L77" s="799"/>
      <c r="M77" s="1472"/>
      <c r="N77" s="1472"/>
      <c r="O77" s="1472"/>
      <c r="P77" s="1472"/>
      <c r="Q77" s="1473"/>
      <c r="R77"/>
      <c r="S77" s="527">
        <f>IF(I29="","","%AC in Recycle:")</f>
      </c>
      <c r="T77" s="1374"/>
      <c r="U77" s="534">
        <f>'Chart Data'!Q115</f>
      </c>
      <c r="AA77"/>
      <c r="AB77"/>
    </row>
    <row r="78" spans="1:21" ht="19.5" customHeight="1" thickBot="1" thickTop="1">
      <c r="A78" s="779"/>
      <c r="B78" s="780"/>
      <c r="C78" s="779"/>
      <c r="D78" s="780"/>
      <c r="E78" s="779"/>
      <c r="F78" s="780"/>
      <c r="G78" s="779"/>
      <c r="H78" s="780"/>
      <c r="I78" s="779"/>
      <c r="J78" s="780"/>
      <c r="K78"/>
      <c r="L78" s="325">
        <f>IF(Q80="","","(Enter Reference Info. Above)")</f>
      </c>
      <c r="M78" s="62"/>
      <c r="N78" s="62"/>
      <c r="O78"/>
      <c r="P78"/>
      <c r="Q78"/>
      <c r="R78"/>
      <c r="S78" s="530">
        <f>IF(I29="","","%Virgin AC in mix:")</f>
      </c>
      <c r="T78" s="1375"/>
      <c r="U78" s="534">
        <f>'Chart Data'!Q116</f>
      </c>
    </row>
    <row r="79" spans="1:21" ht="19.5" customHeight="1" thickBot="1" thickTop="1">
      <c r="A79" s="779"/>
      <c r="B79" s="780"/>
      <c r="C79" s="779"/>
      <c r="D79" s="780"/>
      <c r="E79" s="779"/>
      <c r="F79" s="780"/>
      <c r="G79" s="779"/>
      <c r="H79" s="780"/>
      <c r="I79" s="779"/>
      <c r="J79" s="780"/>
      <c r="K79"/>
      <c r="L79" s="742" t="str">
        <f>IF(OR(H20=1,H20=2),"","Complete SGC Des.")</f>
        <v>Complete SGC Des.</v>
      </c>
      <c r="M79" s="554"/>
      <c r="N79" s="553"/>
      <c r="O79" s="743" t="str">
        <f>IF(OR(H20=1,H20=2),"","1-Pt. SGC Des.")</f>
        <v>1-Pt. SGC Des.</v>
      </c>
      <c r="P79" s="554"/>
      <c r="Q79" s="553"/>
      <c r="R79"/>
      <c r="S79" s="532">
        <f>IF(I29="","","%Recycle AC in mix:")</f>
      </c>
      <c r="T79" s="1376"/>
      <c r="U79" s="534">
        <f>'Chart Data'!Q117</f>
      </c>
    </row>
    <row r="80" spans="1:21" ht="19.5" customHeight="1" thickBot="1" thickTop="1">
      <c r="A80" s="779"/>
      <c r="B80" s="780"/>
      <c r="C80" s="779"/>
      <c r="D80" s="780"/>
      <c r="E80" s="779"/>
      <c r="F80" s="780"/>
      <c r="G80" s="779"/>
      <c r="H80" s="780"/>
      <c r="I80" s="779"/>
      <c r="J80" s="780"/>
      <c r="K80"/>
      <c r="L80" s="551" t="s">
        <v>1049</v>
      </c>
      <c r="M80" s="554"/>
      <c r="N80" s="553"/>
      <c r="O80" s="552" t="s">
        <v>1050</v>
      </c>
      <c r="P80" s="554"/>
      <c r="Q80" s="553"/>
      <c r="R80"/>
      <c r="S80" s="532">
        <f>IF(I29="","","Total %AC in mix:")</f>
      </c>
      <c r="T80" s="1376"/>
      <c r="U80" s="534">
        <f>'Chart Data'!Q118</f>
      </c>
    </row>
    <row r="81" spans="1:21" ht="19.5" customHeight="1" thickBot="1" thickTop="1">
      <c r="A81" s="779"/>
      <c r="B81" s="780"/>
      <c r="C81" s="779"/>
      <c r="D81" s="780"/>
      <c r="E81" s="779"/>
      <c r="F81" s="780"/>
      <c r="G81" s="779"/>
      <c r="H81" s="780"/>
      <c r="I81" s="779"/>
      <c r="J81" s="780"/>
      <c r="K81"/>
      <c r="L81" s="551" t="s">
        <v>1051</v>
      </c>
      <c r="M81" s="554"/>
      <c r="N81" s="553"/>
      <c r="O81" s="552" t="s">
        <v>1052</v>
      </c>
      <c r="P81" s="554"/>
      <c r="Q81" s="553"/>
      <c r="R81"/>
      <c r="S81" s="524" t="s">
        <v>1053</v>
      </c>
      <c r="T81" s="525"/>
      <c r="U81" s="526"/>
    </row>
    <row r="82" spans="1:21" ht="19.5" customHeight="1" thickBot="1" thickTop="1">
      <c r="A82" s="779"/>
      <c r="B82" s="780"/>
      <c r="C82" s="779"/>
      <c r="D82" s="780"/>
      <c r="E82" s="779"/>
      <c r="F82" s="780"/>
      <c r="G82" s="779"/>
      <c r="H82" s="780"/>
      <c r="I82" s="779"/>
      <c r="J82" s="780"/>
      <c r="K82"/>
      <c r="L82" s="544" t="s">
        <v>1054</v>
      </c>
      <c r="M82" s="545"/>
      <c r="N82" s="546"/>
      <c r="O82" s="547"/>
      <c r="P82" s="545"/>
      <c r="Q82" s="529"/>
      <c r="R82" s="523"/>
      <c r="S82" s="1474"/>
      <c r="T82" s="1475"/>
      <c r="U82" s="1476"/>
    </row>
    <row r="83" spans="2:21" ht="14.25" thickBot="1" thickTop="1">
      <c r="B83" s="765"/>
      <c r="C83" s="765"/>
      <c r="L83"/>
      <c r="M83"/>
      <c r="N83"/>
      <c r="O83"/>
      <c r="P83"/>
      <c r="Q83"/>
      <c r="R83"/>
      <c r="S83"/>
      <c r="T83"/>
      <c r="U83"/>
    </row>
    <row r="84" spans="1:21" ht="14.25" thickBot="1" thickTop="1">
      <c r="A84" s="137"/>
      <c r="B84" s="138"/>
      <c r="C84" s="140" t="s">
        <v>1055</v>
      </c>
      <c r="D84" s="138"/>
      <c r="E84" s="138"/>
      <c r="F84" s="139"/>
      <c r="L84"/>
      <c r="M84"/>
      <c r="N84"/>
      <c r="O84"/>
      <c r="P84"/>
      <c r="Q84"/>
      <c r="S84"/>
      <c r="T84"/>
      <c r="U84"/>
    </row>
    <row r="85" spans="1:21" ht="14.25" thickBot="1" thickTop="1">
      <c r="A85" s="190" t="s">
        <v>1056</v>
      </c>
      <c r="B85" s="191" t="s">
        <v>1057</v>
      </c>
      <c r="C85" s="190" t="s">
        <v>1056</v>
      </c>
      <c r="D85" s="191" t="s">
        <v>1058</v>
      </c>
      <c r="E85" s="190" t="s">
        <v>1056</v>
      </c>
      <c r="F85" s="191" t="s">
        <v>1059</v>
      </c>
      <c r="G85" s="194"/>
      <c r="H85" s="195" t="s">
        <v>1060</v>
      </c>
      <c r="I85" s="233"/>
      <c r="L85"/>
      <c r="M85"/>
      <c r="N85"/>
      <c r="O85"/>
      <c r="P85"/>
      <c r="Q85"/>
      <c r="R85"/>
      <c r="S85"/>
      <c r="T85"/>
      <c r="U85"/>
    </row>
    <row r="86" spans="1:21" ht="14.25" thickBot="1" thickTop="1">
      <c r="A86" s="133">
        <f>IF($B$34="","",$B$34)</f>
      </c>
      <c r="B86" s="134">
        <f>P34</f>
      </c>
      <c r="C86" s="133">
        <f>IF($B$34="","",$B$34)</f>
      </c>
      <c r="D86" s="134">
        <f>J34</f>
      </c>
      <c r="E86" s="133">
        <f>IF($B$34="","",$B$34)</f>
      </c>
      <c r="F86" s="134">
        <f>M34</f>
      </c>
      <c r="G86" s="192"/>
      <c r="H86" s="733"/>
      <c r="I86" s="193"/>
      <c r="L86"/>
      <c r="M86"/>
      <c r="N86"/>
      <c r="O86"/>
      <c r="P86" s="536" t="s">
        <v>1061</v>
      </c>
      <c r="Q86" s="248"/>
      <c r="R86"/>
      <c r="S86"/>
      <c r="T86"/>
      <c r="U86"/>
    </row>
    <row r="87" spans="1:21" ht="14.25" thickBot="1" thickTop="1">
      <c r="A87" s="133">
        <f>IF($B$37="","",$B$37)</f>
      </c>
      <c r="B87" s="134">
        <f>P37</f>
      </c>
      <c r="C87" s="133">
        <f>IF($B$37="","",$B$37)</f>
      </c>
      <c r="D87" s="134">
        <f>J37</f>
      </c>
      <c r="E87" s="133">
        <f>IF($B$37="","",$B$37)</f>
      </c>
      <c r="F87" s="134">
        <f>M37</f>
      </c>
      <c r="G87" s="9"/>
      <c r="H87" s="9"/>
      <c r="I87" s="9"/>
      <c r="L87" s="326"/>
      <c r="M87"/>
      <c r="N87"/>
      <c r="O87"/>
      <c r="P87" s="555" t="s">
        <v>1062</v>
      </c>
      <c r="Q87" s="520">
        <f>IF(H20=2,6,IF(H20=3,7,IF(H20=4,8,"")))</f>
      </c>
      <c r="R87"/>
      <c r="S87"/>
      <c r="T87"/>
      <c r="U87"/>
    </row>
    <row r="88" spans="1:21" ht="13.5" thickTop="1">
      <c r="A88" s="133">
        <f>IF($B$40="","",$B$40)</f>
      </c>
      <c r="B88" s="134">
        <f>P40</f>
      </c>
      <c r="C88" s="133">
        <f>IF($B$40="","",$B$40)</f>
      </c>
      <c r="D88" s="134">
        <f>J40</f>
      </c>
      <c r="E88" s="133">
        <f>IF($B$40="","",$B$40)</f>
      </c>
      <c r="F88" s="134">
        <f>M40</f>
      </c>
      <c r="G88" s="194" t="s">
        <v>1063</v>
      </c>
      <c r="H88" s="201"/>
      <c r="I88" s="196"/>
      <c r="L88" s="328"/>
      <c r="M88"/>
      <c r="N88"/>
      <c r="O88"/>
      <c r="P88" s="556" t="s">
        <v>1064</v>
      </c>
      <c r="Q88" s="521">
        <f>IF(H20=2,50,IF(H20=3,75,IF(H20=4,100,"")))</f>
      </c>
      <c r="R88"/>
      <c r="S88"/>
      <c r="T88"/>
      <c r="U88"/>
    </row>
    <row r="89" spans="1:21" ht="13.5" thickBot="1">
      <c r="A89" s="133">
        <f>IF($B$43="","",$B$43)</f>
      </c>
      <c r="B89" s="136">
        <f>P43</f>
      </c>
      <c r="C89" s="133">
        <f>IF($B$43="","",$B$43)</f>
      </c>
      <c r="D89" s="134">
        <f>J43</f>
      </c>
      <c r="E89" s="133">
        <f>IF($B$43="","",$B$43)</f>
      </c>
      <c r="F89" s="136">
        <f>M43</f>
      </c>
      <c r="G89" s="197">
        <f>IF(L23="","",L23)</f>
      </c>
      <c r="H89" s="206">
        <f>IF(M23="","",M23)</f>
      </c>
      <c r="I89" s="149">
        <f aca="true" t="shared" si="5" ref="I89:I94">IF(ISERROR(H89/G89),"",H89/G89)</f>
      </c>
      <c r="L89" s="326"/>
      <c r="M89"/>
      <c r="N89"/>
      <c r="O89"/>
      <c r="P89" s="557" t="s">
        <v>1065</v>
      </c>
      <c r="Q89" s="522">
        <f>IF(H20=2,75,IF(H20=3,115,IF(H20=4,160,"")))</f>
      </c>
      <c r="R89"/>
      <c r="S89"/>
      <c r="T89"/>
      <c r="U89"/>
    </row>
    <row r="90" spans="1:21" ht="13.5" thickTop="1">
      <c r="A90" s="190" t="s">
        <v>1056</v>
      </c>
      <c r="B90" s="191" t="s">
        <v>1066</v>
      </c>
      <c r="C90" s="190" t="s">
        <v>1056</v>
      </c>
      <c r="D90" s="191" t="s">
        <v>1067</v>
      </c>
      <c r="E90" s="190" t="s">
        <v>1056</v>
      </c>
      <c r="F90" s="191" t="s">
        <v>1068</v>
      </c>
      <c r="G90" s="197">
        <f>IF(L24="","",L24)</f>
      </c>
      <c r="H90" s="206">
        <f>IF(M24="","",M24)</f>
      </c>
      <c r="I90" s="149">
        <f t="shared" si="5"/>
      </c>
      <c r="L90" s="326"/>
      <c r="M90" s="329"/>
      <c r="N90" s="326"/>
      <c r="O90" s="329"/>
      <c r="P90"/>
      <c r="Q90"/>
      <c r="R90"/>
      <c r="S90"/>
      <c r="T90"/>
      <c r="U90"/>
    </row>
    <row r="91" spans="1:21" ht="12.75">
      <c r="A91" s="133">
        <f>IF($B$34="","",$B$34)</f>
      </c>
      <c r="B91" s="134">
        <f>N34</f>
      </c>
      <c r="C91" s="133">
        <f>IF($B$34="","",$B$34)</f>
      </c>
      <c r="D91" s="134">
        <f>H34</f>
      </c>
      <c r="E91" s="133">
        <f>IF($B$34="","",$B$34)</f>
      </c>
      <c r="F91" s="189">
        <f>I34</f>
      </c>
      <c r="G91" s="197">
        <f aca="true" t="shared" si="6" ref="G91:H94">IF(L25="","",L25)</f>
      </c>
      <c r="H91" s="206">
        <f t="shared" si="6"/>
      </c>
      <c r="I91" s="149">
        <f t="shared" si="5"/>
      </c>
      <c r="L91" s="326"/>
      <c r="M91" s="329"/>
      <c r="N91" s="326"/>
      <c r="O91" s="329"/>
      <c r="P91"/>
      <c r="Q91"/>
      <c r="R91"/>
      <c r="S91"/>
      <c r="T91"/>
      <c r="U91"/>
    </row>
    <row r="92" spans="1:21" ht="12.75">
      <c r="A92" s="133">
        <f>IF($B$37="","",$B$37)</f>
      </c>
      <c r="B92" s="134">
        <f>N37</f>
      </c>
      <c r="C92" s="133">
        <f>IF($B$37="","",$B$37)</f>
      </c>
      <c r="D92" s="134">
        <f>H37</f>
      </c>
      <c r="E92" s="133">
        <f>IF($B$37="","",$B$37)</f>
      </c>
      <c r="F92" s="189">
        <f>I37</f>
      </c>
      <c r="G92" s="197">
        <f t="shared" si="6"/>
      </c>
      <c r="H92" s="206">
        <f t="shared" si="6"/>
      </c>
      <c r="I92" s="149">
        <f t="shared" si="5"/>
      </c>
      <c r="L92"/>
      <c r="M92"/>
      <c r="N92"/>
      <c r="O92"/>
      <c r="P92"/>
      <c r="Q92"/>
      <c r="S92"/>
      <c r="T92"/>
      <c r="U92"/>
    </row>
    <row r="93" spans="1:21" ht="12.75">
      <c r="A93" s="133">
        <f>IF($B$40="","",$B$40)</f>
      </c>
      <c r="B93" s="134">
        <f>N40</f>
      </c>
      <c r="C93" s="133">
        <f>IF($B$40="","",$B$40)</f>
      </c>
      <c r="D93" s="134">
        <f>H40</f>
      </c>
      <c r="E93" s="133">
        <f>IF($B$40="","",$B$40)</f>
      </c>
      <c r="F93" s="189">
        <f>I40</f>
      </c>
      <c r="G93" s="197">
        <f t="shared" si="6"/>
      </c>
      <c r="H93" s="206">
        <f t="shared" si="6"/>
      </c>
      <c r="I93" s="149">
        <f t="shared" si="5"/>
      </c>
      <c r="L93"/>
      <c r="O93" s="751"/>
      <c r="P93"/>
      <c r="Q93"/>
      <c r="R93"/>
      <c r="U93" s="751"/>
    </row>
    <row r="94" spans="1:21" ht="13.5" thickBot="1">
      <c r="A94" s="133">
        <f>IF($B$43="","",$B$43)</f>
      </c>
      <c r="B94" s="136">
        <f>N43</f>
      </c>
      <c r="C94" s="133">
        <f>IF($B$43="","",$B$43)</f>
      </c>
      <c r="D94" s="136">
        <f>H43</f>
      </c>
      <c r="E94" s="133">
        <f>IF($B$43="","",$B$43)</f>
      </c>
      <c r="F94" s="230">
        <f>I43</f>
      </c>
      <c r="G94" s="197">
        <f t="shared" si="6"/>
      </c>
      <c r="H94" s="206">
        <f t="shared" si="6"/>
      </c>
      <c r="I94" s="149">
        <f t="shared" si="5"/>
      </c>
      <c r="L94"/>
      <c r="O94" s="751"/>
      <c r="P94" s="550"/>
      <c r="Q94"/>
      <c r="R94"/>
      <c r="U94" s="751"/>
    </row>
    <row r="95" spans="1:21" ht="14.25" thickBot="1" thickTop="1">
      <c r="A95" s="190" t="s">
        <v>1056</v>
      </c>
      <c r="B95" s="191" t="s">
        <v>1069</v>
      </c>
      <c r="C95" s="190" t="s">
        <v>1056</v>
      </c>
      <c r="D95" s="191" t="s">
        <v>1070</v>
      </c>
      <c r="E95" s="190" t="s">
        <v>1056</v>
      </c>
      <c r="F95" s="191" t="s">
        <v>977</v>
      </c>
      <c r="G95" s="198"/>
      <c r="H95" s="199" t="s">
        <v>1071</v>
      </c>
      <c r="I95" s="200">
        <f>IF(I89="","",SUM(I89:I94))</f>
      </c>
      <c r="L95"/>
      <c r="O95" s="751"/>
      <c r="P95" s="550"/>
      <c r="Q95"/>
      <c r="R95"/>
      <c r="U95" s="751"/>
    </row>
    <row r="96" spans="1:21" ht="14.25" thickBot="1" thickTop="1">
      <c r="A96" s="133">
        <f>IF($B$34="","",$B$34)</f>
      </c>
      <c r="B96" s="238">
        <f>IF(L34="","",L34)</f>
      </c>
      <c r="C96" s="133">
        <f>IF($B$34="","",$B$34)</f>
      </c>
      <c r="D96" s="238">
        <f>IF(O34="","",O34)</f>
      </c>
      <c r="E96" s="133">
        <f>IF($B$34="","",$B$34)</f>
      </c>
      <c r="F96" s="238">
        <f>IF(Q34="","",Q34)</f>
      </c>
      <c r="L96" s="326"/>
      <c r="O96" s="751"/>
      <c r="P96" s="327"/>
      <c r="Q96"/>
      <c r="R96"/>
      <c r="U96" s="751"/>
    </row>
    <row r="97" spans="1:21" ht="13.5" thickTop="1">
      <c r="A97" s="133">
        <f>IF($B$37="","",$B$37)</f>
      </c>
      <c r="B97" s="238">
        <f>IF(L37="","",L37)</f>
      </c>
      <c r="C97" s="133">
        <f>IF($B$37="","",$B$37)</f>
      </c>
      <c r="D97" s="238">
        <f>IF(O37="","",O37)</f>
      </c>
      <c r="E97" s="133">
        <f>IF($B$37="","",$B$37)</f>
      </c>
      <c r="F97" s="238">
        <f>IF(Q37="","",Q37)</f>
      </c>
      <c r="G97" s="202" t="s">
        <v>1072</v>
      </c>
      <c r="H97" s="203">
        <f>IF(T74="","",(2+(2*T68+4*T69+8*T70+14*T71+30*T72+60*I98+160*T74)/100)*O23/2.65)</f>
      </c>
      <c r="I97" s="229"/>
      <c r="J97" s="40">
        <f>IF(T74="","",(2+(2*T68+4*T69+8*T70+14*T71+30*(T72+1)+60*(I98+1)+160*(T74+1.5))/100)*O23/2.65)</f>
      </c>
      <c r="L97" s="326"/>
      <c r="O97" s="751"/>
      <c r="P97" s="328"/>
      <c r="Q97"/>
      <c r="R97"/>
      <c r="U97" s="751"/>
    </row>
    <row r="98" spans="1:21" ht="13.5" thickBot="1">
      <c r="A98" s="133">
        <f>IF($B$40="","",$B$40)</f>
      </c>
      <c r="B98" s="238">
        <f>IF(L40="","",L40)</f>
      </c>
      <c r="C98" s="133">
        <f>IF($B$40="","",$B$40)</f>
      </c>
      <c r="D98" s="238">
        <f>IF(O40="","",O40)</f>
      </c>
      <c r="E98" s="133">
        <f>IF($B$40="","",$B$40)</f>
      </c>
      <c r="F98" s="238">
        <f>IF(Q40="","",Q40)</f>
      </c>
      <c r="G98" s="204" t="s">
        <v>1073</v>
      </c>
      <c r="H98" s="205">
        <f>IF(H97="","",(1.96*O25*O23*H97))</f>
      </c>
      <c r="I98" s="265">
        <f>IF($T$74="","",($T$72-((0.3-0.15)/(0.3-0.075))*($T$72-$T$74)))</f>
      </c>
      <c r="J98" s="41">
        <f>IF(J97="","",(1.96*O25*O23*J97))</f>
      </c>
      <c r="L98" s="326"/>
      <c r="O98" s="751"/>
      <c r="P98" s="328"/>
      <c r="Q98"/>
      <c r="R98"/>
      <c r="U98" s="751"/>
    </row>
    <row r="99" spans="1:21" ht="14.25" thickBot="1" thickTop="1">
      <c r="A99" s="135">
        <f>IF($B$43="","",$B$43)</f>
      </c>
      <c r="B99" s="251">
        <f>IF(L43="","",L43)</f>
      </c>
      <c r="C99" s="135">
        <f>IF($B$43="","",$B$43)</f>
      </c>
      <c r="D99" s="251">
        <f>IF(O43="","",O43)</f>
      </c>
      <c r="E99" s="135">
        <f>IF($B$43="","",$B$43)</f>
      </c>
      <c r="F99" s="251">
        <f>IF(Q43="","",Q43)</f>
      </c>
      <c r="G99" s="172" t="s">
        <v>905</v>
      </c>
      <c r="H99" s="173" t="s">
        <v>905</v>
      </c>
      <c r="L99" s="240"/>
      <c r="M99" s="750"/>
      <c r="N99" s="750"/>
      <c r="O99" s="751"/>
      <c r="P99" s="240"/>
      <c r="Q99"/>
      <c r="R99"/>
      <c r="S99" s="750"/>
      <c r="T99" s="750"/>
      <c r="U99" s="751"/>
    </row>
    <row r="100" spans="1:20" ht="14.25" thickBot="1" thickTop="1">
      <c r="A100" s="132"/>
      <c r="B100" s="206"/>
      <c r="C100" s="132"/>
      <c r="D100" s="231"/>
      <c r="E100"/>
      <c r="F100"/>
      <c r="G100" s="172"/>
      <c r="H100" s="173"/>
      <c r="L100" s="132"/>
      <c r="M100" s="206"/>
      <c r="N100" s="132"/>
      <c r="O100" s="231"/>
      <c r="P100" s="132"/>
      <c r="Q100" s="132"/>
      <c r="S100" s="132"/>
      <c r="T100" s="132"/>
    </row>
    <row r="101" spans="1:21" ht="14.25" thickBot="1" thickTop="1">
      <c r="A101" s="137"/>
      <c r="B101" s="138"/>
      <c r="C101" s="140" t="s">
        <v>1074</v>
      </c>
      <c r="D101" s="138"/>
      <c r="E101" s="138"/>
      <c r="F101" s="139"/>
      <c r="H101"/>
      <c r="I101"/>
      <c r="S101"/>
      <c r="T101"/>
      <c r="U101" s="752"/>
    </row>
    <row r="102" spans="1:21" ht="13.5" thickTop="1">
      <c r="A102" s="194" t="s">
        <v>1075</v>
      </c>
      <c r="B102" s="237"/>
      <c r="C102" s="236" t="s">
        <v>1076</v>
      </c>
      <c r="D102" s="237"/>
      <c r="E102" s="236" t="s">
        <v>1077</v>
      </c>
      <c r="F102" s="237"/>
      <c r="H102"/>
      <c r="I102"/>
      <c r="S102"/>
      <c r="T102"/>
      <c r="U102"/>
    </row>
    <row r="103" spans="1:21" ht="12.75">
      <c r="A103" s="234">
        <f>A86</f>
      </c>
      <c r="B103" s="238">
        <f>IF(A103="","",IF(H20=1,91.5,IF(H20=2,90.5,89)))</f>
      </c>
      <c r="C103" s="234">
        <f>C86</f>
      </c>
      <c r="D103" s="238">
        <f>IF(C103="","",4)</f>
      </c>
      <c r="E103" s="234">
        <f>E86</f>
      </c>
      <c r="F103" s="239">
        <f>IF(E103="","",IF(ISNUMBER(H20),AF57,""))</f>
      </c>
      <c r="H103"/>
      <c r="I103"/>
      <c r="S103"/>
      <c r="T103"/>
      <c r="U103"/>
    </row>
    <row r="104" spans="1:21" ht="13.5" thickBot="1">
      <c r="A104" s="234">
        <f>A89</f>
      </c>
      <c r="B104" s="238">
        <f>IF(A104="","",IF(H20=1,91.5,IF(H20=2,90.5,89)))</f>
      </c>
      <c r="C104" s="234">
        <f>C89</f>
      </c>
      <c r="D104" s="238">
        <f>IF(C104="","",4)</f>
      </c>
      <c r="E104" s="252">
        <f>E89</f>
      </c>
      <c r="F104" s="249">
        <f>IF(E104="","",IF(ISNUMBER(H20),AF57,""))</f>
      </c>
      <c r="H104"/>
      <c r="I104"/>
      <c r="S104"/>
      <c r="T104"/>
      <c r="U104"/>
    </row>
    <row r="105" spans="1:21" ht="13.5" thickTop="1">
      <c r="A105" s="236" t="s">
        <v>1078</v>
      </c>
      <c r="B105" s="237"/>
      <c r="C105" s="236" t="s">
        <v>1079</v>
      </c>
      <c r="D105" s="237"/>
      <c r="E105"/>
      <c r="F105"/>
      <c r="H105"/>
      <c r="I105"/>
      <c r="S105"/>
      <c r="T105"/>
      <c r="U105"/>
    </row>
    <row r="106" spans="1:21" ht="12.75">
      <c r="A106" s="234">
        <f>A91</f>
      </c>
      <c r="B106" s="239">
        <f>IF(P56="","",VALUE(LEFT(P56,2)))</f>
      </c>
      <c r="C106" s="234">
        <f>E96</f>
      </c>
      <c r="D106" s="235">
        <f>IF(C106="","",0.8)</f>
      </c>
      <c r="E106"/>
      <c r="F106"/>
      <c r="S106" s="535"/>
      <c r="T106" s="535"/>
      <c r="U106" s="535"/>
    </row>
    <row r="107" spans="1:21" ht="12.75">
      <c r="A107" s="234">
        <f>A94</f>
      </c>
      <c r="B107" s="239">
        <f>B106</f>
      </c>
      <c r="C107" s="234">
        <f>E99</f>
      </c>
      <c r="D107" s="235">
        <f>IF(C107="","",0.8)</f>
      </c>
      <c r="E107"/>
      <c r="F107"/>
      <c r="S107"/>
      <c r="T107"/>
      <c r="U107"/>
    </row>
    <row r="108" spans="1:21" ht="12.75">
      <c r="A108" s="234">
        <f>A91</f>
      </c>
      <c r="B108" s="239">
        <f>IF(P56="","",VALUE(RIGHT(P56,2)))</f>
      </c>
      <c r="C108" s="133">
        <f>E96</f>
      </c>
      <c r="D108" s="235">
        <f>IF(C108="","",1.6)</f>
      </c>
      <c r="E108"/>
      <c r="F108"/>
      <c r="S108"/>
      <c r="T108"/>
      <c r="U108"/>
    </row>
    <row r="109" spans="1:6" ht="13.5" thickBot="1">
      <c r="A109" s="135">
        <f>A94</f>
      </c>
      <c r="B109" s="249">
        <f>B108</f>
      </c>
      <c r="C109" s="135">
        <f>E99</f>
      </c>
      <c r="D109" s="250">
        <f>IF(C109="","",1.6)</f>
      </c>
      <c r="E109"/>
      <c r="F109"/>
    </row>
    <row r="110" spans="1:6" ht="12" customHeight="1" thickBot="1" thickTop="1">
      <c r="A110"/>
      <c r="B110"/>
      <c r="C110"/>
      <c r="D110"/>
      <c r="E110"/>
      <c r="F110"/>
    </row>
    <row r="111" spans="1:16" ht="12" customHeight="1" thickBot="1" thickTop="1">
      <c r="A111" s="1551" t="s">
        <v>2258</v>
      </c>
      <c r="B111" s="1552"/>
      <c r="C111" s="1552"/>
      <c r="D111" s="1552"/>
      <c r="E111" s="1552"/>
      <c r="F111" s="1552"/>
      <c r="G111" s="1552"/>
      <c r="H111" s="1552"/>
      <c r="I111" s="1552"/>
      <c r="J111" s="1552"/>
      <c r="K111" s="1552"/>
      <c r="L111" s="1552"/>
      <c r="M111" s="1552"/>
      <c r="N111" s="1552"/>
      <c r="O111" s="1552"/>
      <c r="P111" s="1553"/>
    </row>
    <row r="112" spans="1:16" ht="12" customHeight="1" thickBot="1" thickTop="1">
      <c r="A112" s="93" t="s">
        <v>942</v>
      </c>
      <c r="B112" s="94"/>
      <c r="C112" s="102" t="s">
        <v>943</v>
      </c>
      <c r="D112" s="103"/>
      <c r="E112" s="104"/>
      <c r="F112" s="95"/>
      <c r="G112" s="95"/>
      <c r="H112" s="96" t="s">
        <v>944</v>
      </c>
      <c r="I112" s="96"/>
      <c r="J112" s="68" t="s">
        <v>945</v>
      </c>
      <c r="K112" s="97"/>
      <c r="L112" s="69" t="s">
        <v>2256</v>
      </c>
      <c r="M112" s="69" t="s">
        <v>2257</v>
      </c>
      <c r="N112" s="1500" t="s">
        <v>2255</v>
      </c>
      <c r="O112" s="1500"/>
      <c r="P112" s="1501"/>
    </row>
    <row r="113" spans="1:16" ht="12" customHeight="1" thickTop="1">
      <c r="A113" s="1537">
        <f aca="true" t="shared" si="7" ref="A113:A118">IF(A23="","",A23)</f>
      </c>
      <c r="B113" s="1538"/>
      <c r="C113" s="1539">
        <f aca="true" t="shared" si="8" ref="C113:C118">IF(C23="","",C23)</f>
      </c>
      <c r="D113" s="1540"/>
      <c r="E113" s="1540"/>
      <c r="F113" s="1540"/>
      <c r="G113" s="1541"/>
      <c r="H113" s="1564">
        <f aca="true" t="shared" si="9" ref="H113:H118">IF(H23="","",H23)</f>
      </c>
      <c r="I113" s="1565"/>
      <c r="J113" s="1564">
        <f aca="true" t="shared" si="10" ref="J113:J118">IF(J23="","",J23)</f>
      </c>
      <c r="K113" s="1565"/>
      <c r="L113" s="800">
        <f aca="true" t="shared" si="11" ref="L113:L118">IF(L23="","",L23)</f>
      </c>
      <c r="M113" s="802"/>
      <c r="N113" s="1497"/>
      <c r="O113" s="1498"/>
      <c r="P113" s="1499"/>
    </row>
    <row r="114" spans="1:16" ht="12" customHeight="1">
      <c r="A114" s="1523">
        <f t="shared" si="7"/>
      </c>
      <c r="B114" s="1524"/>
      <c r="C114" s="1525">
        <f t="shared" si="8"/>
      </c>
      <c r="D114" s="1526"/>
      <c r="E114" s="1526"/>
      <c r="F114" s="1526"/>
      <c r="G114" s="1527"/>
      <c r="H114" s="1528">
        <f t="shared" si="9"/>
      </c>
      <c r="I114" s="1529"/>
      <c r="J114" s="1528">
        <f t="shared" si="10"/>
      </c>
      <c r="K114" s="1529"/>
      <c r="L114" s="800">
        <f t="shared" si="11"/>
      </c>
      <c r="M114" s="803"/>
      <c r="N114" s="1479"/>
      <c r="O114" s="1480"/>
      <c r="P114" s="1481"/>
    </row>
    <row r="115" spans="1:16" ht="12" customHeight="1">
      <c r="A115" s="1523">
        <f t="shared" si="7"/>
      </c>
      <c r="B115" s="1524"/>
      <c r="C115" s="1525">
        <f t="shared" si="8"/>
      </c>
      <c r="D115" s="1526"/>
      <c r="E115" s="1526"/>
      <c r="F115" s="1526"/>
      <c r="G115" s="1527"/>
      <c r="H115" s="1528">
        <f t="shared" si="9"/>
      </c>
      <c r="I115" s="1529"/>
      <c r="J115" s="1528">
        <f t="shared" si="10"/>
      </c>
      <c r="K115" s="1529"/>
      <c r="L115" s="800">
        <f t="shared" si="11"/>
      </c>
      <c r="M115" s="803"/>
      <c r="N115" s="1479"/>
      <c r="O115" s="1480"/>
      <c r="P115" s="1481"/>
    </row>
    <row r="116" spans="1:16" ht="12" customHeight="1">
      <c r="A116" s="1523">
        <f t="shared" si="7"/>
      </c>
      <c r="B116" s="1524"/>
      <c r="C116" s="1525">
        <f t="shared" si="8"/>
      </c>
      <c r="D116" s="1526"/>
      <c r="E116" s="1526"/>
      <c r="F116" s="1526"/>
      <c r="G116" s="1527"/>
      <c r="H116" s="1528">
        <f t="shared" si="9"/>
      </c>
      <c r="I116" s="1529"/>
      <c r="J116" s="1528">
        <f t="shared" si="10"/>
      </c>
      <c r="K116" s="1529"/>
      <c r="L116" s="800">
        <f t="shared" si="11"/>
      </c>
      <c r="M116" s="803"/>
      <c r="N116" s="1479"/>
      <c r="O116" s="1480"/>
      <c r="P116" s="1481"/>
    </row>
    <row r="117" spans="1:16" ht="12" customHeight="1">
      <c r="A117" s="1523">
        <f t="shared" si="7"/>
      </c>
      <c r="B117" s="1524"/>
      <c r="C117" s="1525">
        <f t="shared" si="8"/>
      </c>
      <c r="D117" s="1526"/>
      <c r="E117" s="1526"/>
      <c r="F117" s="1526"/>
      <c r="G117" s="1527"/>
      <c r="H117" s="1528">
        <f t="shared" si="9"/>
      </c>
      <c r="I117" s="1529"/>
      <c r="J117" s="1528">
        <f t="shared" si="10"/>
      </c>
      <c r="K117" s="1529"/>
      <c r="L117" s="800">
        <f t="shared" si="11"/>
      </c>
      <c r="M117" s="803"/>
      <c r="N117" s="1479"/>
      <c r="O117" s="1480"/>
      <c r="P117" s="1481"/>
    </row>
    <row r="118" spans="1:16" ht="12" customHeight="1" thickBot="1">
      <c r="A118" s="1535">
        <f t="shared" si="7"/>
      </c>
      <c r="B118" s="1536"/>
      <c r="C118" s="1532">
        <f t="shared" si="8"/>
      </c>
      <c r="D118" s="1533"/>
      <c r="E118" s="1533"/>
      <c r="F118" s="1533"/>
      <c r="G118" s="1534"/>
      <c r="H118" s="1530">
        <f t="shared" si="9"/>
      </c>
      <c r="I118" s="1531"/>
      <c r="J118" s="1530">
        <f t="shared" si="10"/>
      </c>
      <c r="K118" s="1531"/>
      <c r="L118" s="801">
        <f t="shared" si="11"/>
      </c>
      <c r="M118" s="804"/>
      <c r="N118" s="1482"/>
      <c r="O118" s="1483"/>
      <c r="P118" s="1484"/>
    </row>
    <row r="119" ht="12" customHeight="1" thickBot="1" thickTop="1"/>
    <row r="120" spans="1:16" ht="12" customHeight="1" thickBot="1" thickTop="1">
      <c r="A120" s="1520" t="s">
        <v>1048</v>
      </c>
      <c r="B120" s="1521"/>
      <c r="C120" s="1521"/>
      <c r="D120" s="1521"/>
      <c r="E120" s="1521"/>
      <c r="F120" s="1521"/>
      <c r="G120" s="1521"/>
      <c r="H120" s="1522"/>
      <c r="J120" s="1485" t="s">
        <v>2259</v>
      </c>
      <c r="K120" s="1486"/>
      <c r="L120" s="1486"/>
      <c r="M120" s="1486"/>
      <c r="N120" s="1486"/>
      <c r="O120" s="1486"/>
      <c r="P120" s="1487"/>
    </row>
    <row r="121" spans="1:16" ht="12" customHeight="1" thickBot="1" thickTop="1">
      <c r="A121" s="1511"/>
      <c r="B121" s="1512"/>
      <c r="C121" s="1512"/>
      <c r="D121" s="1512"/>
      <c r="E121" s="1512"/>
      <c r="F121" s="1512"/>
      <c r="G121" s="1512"/>
      <c r="H121" s="1513"/>
      <c r="J121" s="1488" t="s">
        <v>2260</v>
      </c>
      <c r="K121" s="1489"/>
      <c r="L121" s="1490"/>
      <c r="M121" s="69" t="s">
        <v>2257</v>
      </c>
      <c r="N121" s="1500" t="s">
        <v>461</v>
      </c>
      <c r="O121" s="1500"/>
      <c r="P121" s="1501"/>
    </row>
    <row r="122" spans="1:16" ht="12" customHeight="1" thickTop="1">
      <c r="A122" s="1514"/>
      <c r="B122" s="1515"/>
      <c r="C122" s="1515"/>
      <c r="D122" s="1515"/>
      <c r="E122" s="1515"/>
      <c r="F122" s="1515"/>
      <c r="G122" s="1515"/>
      <c r="H122" s="1516"/>
      <c r="J122" s="1491"/>
      <c r="K122" s="1492"/>
      <c r="L122" s="1493"/>
      <c r="M122" s="802"/>
      <c r="N122" s="1497"/>
      <c r="O122" s="1498"/>
      <c r="P122" s="1499"/>
    </row>
    <row r="123" spans="1:16" ht="12" customHeight="1">
      <c r="A123" s="1514"/>
      <c r="B123" s="1515"/>
      <c r="C123" s="1515"/>
      <c r="D123" s="1515"/>
      <c r="E123" s="1515"/>
      <c r="F123" s="1515"/>
      <c r="G123" s="1515"/>
      <c r="H123" s="1516"/>
      <c r="J123" s="1494"/>
      <c r="K123" s="1495"/>
      <c r="L123" s="1496"/>
      <c r="M123" s="803"/>
      <c r="N123" s="1479"/>
      <c r="O123" s="1480"/>
      <c r="P123" s="1481"/>
    </row>
    <row r="124" spans="1:16" ht="12" customHeight="1">
      <c r="A124" s="1514"/>
      <c r="B124" s="1515"/>
      <c r="C124" s="1515"/>
      <c r="D124" s="1515"/>
      <c r="E124" s="1515"/>
      <c r="F124" s="1515"/>
      <c r="G124" s="1515"/>
      <c r="H124" s="1516"/>
      <c r="J124" s="1494"/>
      <c r="K124" s="1495"/>
      <c r="L124" s="1496"/>
      <c r="M124" s="803"/>
      <c r="N124" s="1479"/>
      <c r="O124" s="1480"/>
      <c r="P124" s="1481"/>
    </row>
    <row r="125" spans="1:16" ht="12" customHeight="1">
      <c r="A125" s="1514"/>
      <c r="B125" s="1515"/>
      <c r="C125" s="1515"/>
      <c r="D125" s="1515"/>
      <c r="E125" s="1515"/>
      <c r="F125" s="1515"/>
      <c r="G125" s="1515"/>
      <c r="H125" s="1516"/>
      <c r="J125" s="1494"/>
      <c r="K125" s="1495"/>
      <c r="L125" s="1496"/>
      <c r="M125" s="803"/>
      <c r="N125" s="1479"/>
      <c r="O125" s="1480"/>
      <c r="P125" s="1481"/>
    </row>
    <row r="126" spans="1:16" ht="12" customHeight="1">
      <c r="A126" s="1514"/>
      <c r="B126" s="1515"/>
      <c r="C126" s="1515"/>
      <c r="D126" s="1515"/>
      <c r="E126" s="1515"/>
      <c r="F126" s="1515"/>
      <c r="G126" s="1515"/>
      <c r="H126" s="1516"/>
      <c r="J126" s="1494"/>
      <c r="K126" s="1495"/>
      <c r="L126" s="1496"/>
      <c r="M126" s="803"/>
      <c r="N126" s="1479"/>
      <c r="O126" s="1480"/>
      <c r="P126" s="1481"/>
    </row>
    <row r="127" spans="1:18" ht="12" customHeight="1" thickBot="1">
      <c r="A127" s="1517"/>
      <c r="B127" s="1518"/>
      <c r="C127" s="1518"/>
      <c r="D127" s="1518"/>
      <c r="E127" s="1518"/>
      <c r="F127" s="1518"/>
      <c r="G127" s="1518"/>
      <c r="H127" s="1519"/>
      <c r="J127" s="1542"/>
      <c r="K127" s="1543"/>
      <c r="L127" s="1544"/>
      <c r="M127" s="804"/>
      <c r="N127" s="1482"/>
      <c r="O127" s="1483"/>
      <c r="P127" s="1484"/>
      <c r="Q127" s="1166" t="s">
        <v>298</v>
      </c>
      <c r="R127" s="3" t="s">
        <v>297</v>
      </c>
    </row>
    <row r="128" ht="13.5" thickTop="1"/>
  </sheetData>
  <sheetProtection password="C550" sheet="1" objects="1" scenarios="1"/>
  <mergeCells count="114">
    <mergeCell ref="K18:L18"/>
    <mergeCell ref="O75:Q75"/>
    <mergeCell ref="T52:U52"/>
    <mergeCell ref="T53:U53"/>
    <mergeCell ref="T54:U54"/>
    <mergeCell ref="S58:U58"/>
    <mergeCell ref="R42:S42"/>
    <mergeCell ref="T32:U32"/>
    <mergeCell ref="P56:Q56"/>
    <mergeCell ref="J28:K28"/>
    <mergeCell ref="T39:U39"/>
    <mergeCell ref="R39:S39"/>
    <mergeCell ref="R41:S41"/>
    <mergeCell ref="R32:S32"/>
    <mergeCell ref="R33:S33"/>
    <mergeCell ref="T29:U29"/>
    <mergeCell ref="R36:S36"/>
    <mergeCell ref="T33:U33"/>
    <mergeCell ref="T35:U35"/>
    <mergeCell ref="T36:U36"/>
    <mergeCell ref="J25:K25"/>
    <mergeCell ref="J26:K26"/>
    <mergeCell ref="J27:K27"/>
    <mergeCell ref="T38:U38"/>
    <mergeCell ref="A23:B23"/>
    <mergeCell ref="C23:G23"/>
    <mergeCell ref="H113:I113"/>
    <mergeCell ref="J113:K113"/>
    <mergeCell ref="N112:P112"/>
    <mergeCell ref="N113:P113"/>
    <mergeCell ref="A24:B24"/>
    <mergeCell ref="A25:B25"/>
    <mergeCell ref="A26:B26"/>
    <mergeCell ref="A27:B27"/>
    <mergeCell ref="C25:G25"/>
    <mergeCell ref="J24:K24"/>
    <mergeCell ref="C24:G24"/>
    <mergeCell ref="C26:G26"/>
    <mergeCell ref="C27:G27"/>
    <mergeCell ref="H28:I28"/>
    <mergeCell ref="C28:G28"/>
    <mergeCell ref="A118:B118"/>
    <mergeCell ref="A115:B115"/>
    <mergeCell ref="C115:G115"/>
    <mergeCell ref="H115:I115"/>
    <mergeCell ref="J115:K115"/>
    <mergeCell ref="A113:B113"/>
    <mergeCell ref="C113:G113"/>
    <mergeCell ref="J127:L127"/>
    <mergeCell ref="C10:D10"/>
    <mergeCell ref="K20:L20"/>
    <mergeCell ref="H26:I26"/>
    <mergeCell ref="K16:L16"/>
    <mergeCell ref="A28:B28"/>
    <mergeCell ref="A114:B114"/>
    <mergeCell ref="C114:G114"/>
    <mergeCell ref="H114:I114"/>
    <mergeCell ref="J114:K114"/>
    <mergeCell ref="A111:P111"/>
    <mergeCell ref="J23:K23"/>
    <mergeCell ref="N27:O27"/>
    <mergeCell ref="C14:E14"/>
    <mergeCell ref="C15:E15"/>
    <mergeCell ref="C12:E12"/>
    <mergeCell ref="C13:E13"/>
    <mergeCell ref="O7:U7"/>
    <mergeCell ref="R35:S35"/>
    <mergeCell ref="H24:I24"/>
    <mergeCell ref="H25:I25"/>
    <mergeCell ref="H27:I27"/>
    <mergeCell ref="T41:U41"/>
    <mergeCell ref="K10:L10"/>
    <mergeCell ref="H23:I23"/>
    <mergeCell ref="A121:H127"/>
    <mergeCell ref="A120:H120"/>
    <mergeCell ref="A116:B116"/>
    <mergeCell ref="C116:G116"/>
    <mergeCell ref="H116:I116"/>
    <mergeCell ref="J116:K116"/>
    <mergeCell ref="J118:K118"/>
    <mergeCell ref="A117:B117"/>
    <mergeCell ref="C117:G117"/>
    <mergeCell ref="H117:I117"/>
    <mergeCell ref="C118:G118"/>
    <mergeCell ref="H118:I118"/>
    <mergeCell ref="N114:P114"/>
    <mergeCell ref="N115:P115"/>
    <mergeCell ref="N116:P116"/>
    <mergeCell ref="J117:K117"/>
    <mergeCell ref="N127:P127"/>
    <mergeCell ref="J120:P120"/>
    <mergeCell ref="J121:L121"/>
    <mergeCell ref="J122:L122"/>
    <mergeCell ref="J123:L123"/>
    <mergeCell ref="J124:L124"/>
    <mergeCell ref="N122:P122"/>
    <mergeCell ref="N121:P121"/>
    <mergeCell ref="J125:L125"/>
    <mergeCell ref="J126:L126"/>
    <mergeCell ref="N126:P126"/>
    <mergeCell ref="N123:P123"/>
    <mergeCell ref="N124:P124"/>
    <mergeCell ref="N125:P125"/>
    <mergeCell ref="Z24:AB24"/>
    <mergeCell ref="Z28:AB28"/>
    <mergeCell ref="Z30:AB30"/>
    <mergeCell ref="Z26:AB26"/>
    <mergeCell ref="M76:Q77"/>
    <mergeCell ref="S82:U82"/>
    <mergeCell ref="T42:U42"/>
    <mergeCell ref="N117:P117"/>
    <mergeCell ref="N118:P118"/>
    <mergeCell ref="Q29:S29"/>
    <mergeCell ref="R38:S38"/>
  </mergeCells>
  <conditionalFormatting sqref="P52">
    <cfRule type="cellIs" priority="4" dxfId="0" operator="equal" stopIfTrue="1">
      <formula>"ENTER"</formula>
    </cfRule>
  </conditionalFormatting>
  <conditionalFormatting sqref="P53">
    <cfRule type="cellIs" priority="5" dxfId="0" operator="equal" stopIfTrue="1">
      <formula>"DEPTH"</formula>
    </cfRule>
  </conditionalFormatting>
  <conditionalFormatting sqref="P54">
    <cfRule type="cellIs" priority="6" dxfId="0" operator="equal" stopIfTrue="1">
      <formula>"FROM"</formula>
    </cfRule>
  </conditionalFormatting>
  <conditionalFormatting sqref="P55">
    <cfRule type="cellIs" priority="7" dxfId="0" operator="equal" stopIfTrue="1">
      <formula>"SURFACE"</formula>
    </cfRule>
  </conditionalFormatting>
  <conditionalFormatting sqref="C14:E14">
    <cfRule type="cellIs" priority="8" dxfId="2" operator="equal" stopIfTrue="1">
      <formula>"Multiple Projects Selected"</formula>
    </cfRule>
  </conditionalFormatting>
  <conditionalFormatting sqref="C15:E15">
    <cfRule type="cellIs" priority="9" dxfId="2" operator="equal" stopIfTrue="1">
      <formula>"See 'Project Items' Tab."</formula>
    </cfRule>
  </conditionalFormatting>
  <conditionalFormatting sqref="A19">
    <cfRule type="cellIs" priority="1" dxfId="1" operator="equal" stopIfTrue="1">
      <formula>"The contribution of Asphalt Binder from the reclaimed materials has exceeded the maximum."</formula>
    </cfRule>
    <cfRule type="cellIs" priority="10" dxfId="2" operator="equal" stopIfTrue="1">
      <formula>"Recycle selected:  Use KM 427 for virgin binder grade selection."</formula>
    </cfRule>
    <cfRule type="cellIs" priority="11" dxfId="2" operator="equal" stopIfTrue="1">
      <formula>"Cannot use more than 20% Recycle with PG 76-22."</formula>
    </cfRule>
  </conditionalFormatting>
  <dataValidations count="6">
    <dataValidation type="textLength" operator="equal" allowBlank="1" showInputMessage="1" showErrorMessage="1" errorTitle="Incorrect Length" error="SiteManager Sample ID must be 14-characters exactly" sqref="C10:D10">
      <formula1>14</formula1>
    </dataValidation>
    <dataValidation type="textLength" allowBlank="1" showInputMessage="1" showErrorMessage="1" errorTitle="Length Exceeded" error="NOTES can only accept up to 255 characters." sqref="A121:H127">
      <formula1>0</formula1>
      <formula2>255</formula2>
    </dataValidation>
    <dataValidation type="textLength" allowBlank="1" showInputMessage="1" showErrorMessage="1" sqref="H10">
      <formula1>1</formula1>
      <formula2>15</formula2>
    </dataValidation>
    <dataValidation type="textLength" allowBlank="1" showInputMessage="1" showErrorMessage="1" error="This notes field is limited to a maximum of 60 characters." sqref="M76:Q77">
      <formula1>0</formula1>
      <formula2>60</formula2>
    </dataValidation>
    <dataValidation type="list" allowBlank="1" showInputMessage="1" showErrorMessage="1" sqref="J23:K28">
      <formula1>Aggsize</formula1>
    </dataValidation>
    <dataValidation type="list" allowBlank="1" showInputMessage="1" showErrorMessage="1" sqref="H12">
      <formula1>LabUnits</formula1>
    </dataValidation>
  </dataValidations>
  <printOptions horizontalCentered="1" verticalCentered="1"/>
  <pageMargins left="0.25" right="0.25" top="0.25" bottom="0.25" header="0.5" footer="0.5"/>
  <pageSetup blackAndWhite="1" fitToHeight="2" orientation="landscape" scale="79" r:id="rId3"/>
  <rowBreaks count="1" manualBreakCount="1">
    <brk id="49" max="65535" man="1"/>
  </rowBreaks>
  <ignoredErrors>
    <ignoredError sqref="G34:H34 G37:H37 G40:H40" formula="1"/>
  </ignoredErrors>
  <drawing r:id="rId2"/>
  <legacyDrawing r:id="rId1"/>
</worksheet>
</file>

<file path=xl/worksheets/sheet10.xml><?xml version="1.0" encoding="utf-8"?>
<worksheet xmlns="http://schemas.openxmlformats.org/spreadsheetml/2006/main" xmlns:r="http://schemas.openxmlformats.org/officeDocument/2006/relationships">
  <sheetPr codeName="Sheet7"/>
  <dimension ref="A1:BL251"/>
  <sheetViews>
    <sheetView zoomScale="85" zoomScaleNormal="85" zoomScalePageLayoutView="0" workbookViewId="0" topLeftCell="A1">
      <selection activeCell="A1" sqref="A1"/>
    </sheetView>
  </sheetViews>
  <sheetFormatPr defaultColWidth="9.140625" defaultRowHeight="12.75"/>
  <cols>
    <col min="1" max="1" width="9.140625" style="286" customWidth="1"/>
    <col min="2" max="2" width="10.421875" style="286" bestFit="1" customWidth="1"/>
    <col min="3" max="3" width="9.140625" style="286" customWidth="1"/>
    <col min="4" max="4" width="23.421875" style="286" customWidth="1"/>
    <col min="5" max="5" width="14.7109375" style="286" customWidth="1"/>
    <col min="6" max="18" width="9.140625" style="286" customWidth="1"/>
    <col min="19" max="19" width="34.140625" style="286" customWidth="1"/>
    <col min="20" max="25" width="9.140625" style="286" customWidth="1"/>
    <col min="26" max="26" width="10.140625" style="286" customWidth="1"/>
    <col min="27" max="32" width="9.140625" style="286" customWidth="1"/>
    <col min="33" max="33" width="9.00390625" style="286" customWidth="1"/>
    <col min="34" max="34" width="9.00390625" style="286" bestFit="1" customWidth="1"/>
    <col min="35" max="35" width="30.8515625" style="286" bestFit="1" customWidth="1"/>
    <col min="36" max="36" width="8.7109375" style="286" customWidth="1"/>
    <col min="37" max="38" width="9.140625" style="286" customWidth="1"/>
    <col min="39" max="39" width="11.140625" style="286" customWidth="1"/>
    <col min="40" max="40" width="38.00390625" style="286" bestFit="1" customWidth="1"/>
    <col min="41" max="43" width="9.140625" style="286" customWidth="1"/>
    <col min="44" max="44" width="19.8515625" style="286" customWidth="1"/>
    <col min="45" max="50" width="9.140625" style="286" customWidth="1"/>
    <col min="51" max="51" width="9.57421875" style="286" bestFit="1" customWidth="1"/>
    <col min="52" max="52" width="10.00390625" style="286" bestFit="1" customWidth="1"/>
    <col min="53" max="53" width="5.7109375" style="286" customWidth="1"/>
    <col min="54" max="54" width="10.57421875" style="286" bestFit="1" customWidth="1"/>
    <col min="55" max="55" width="5.7109375" style="286" customWidth="1"/>
    <col min="56" max="56" width="12.7109375" style="286" bestFit="1" customWidth="1"/>
    <col min="57" max="57" width="10.57421875" style="286" bestFit="1" customWidth="1"/>
    <col min="58" max="58" width="10.00390625" style="0" bestFit="1" customWidth="1"/>
    <col min="59" max="59" width="7.8515625" style="286" bestFit="1" customWidth="1"/>
    <col min="60" max="60" width="12.00390625" style="286" bestFit="1" customWidth="1"/>
    <col min="61" max="16384" width="9.140625" style="286" customWidth="1"/>
  </cols>
  <sheetData>
    <row r="1" spans="1:31" ht="12.75">
      <c r="A1" s="1187" t="s">
        <v>923</v>
      </c>
      <c r="B1" s="1188" t="s">
        <v>924</v>
      </c>
      <c r="C1" s="286" t="s">
        <v>1304</v>
      </c>
      <c r="D1" s="286" t="s">
        <v>1305</v>
      </c>
      <c r="E1" s="1189" t="s">
        <v>1334</v>
      </c>
      <c r="F1" s="1189"/>
      <c r="G1" s="1189"/>
      <c r="H1" s="286" t="s">
        <v>1335</v>
      </c>
      <c r="I1" s="286" t="s">
        <v>1336</v>
      </c>
      <c r="L1" s="286">
        <f>IF(ISNUMBER('Design Data'!Q12),1,0)</f>
        <v>0</v>
      </c>
      <c r="N1" s="286">
        <f>IF($K$48="E",1000,900)</f>
        <v>900</v>
      </c>
      <c r="O1" s="286">
        <f>IF($K$48="E",N27+1000,N27+900)</f>
        <v>25200</v>
      </c>
      <c r="P1" s="286">
        <f>IF($K$48="E",O27+1000,O27+900)</f>
        <v>49500</v>
      </c>
      <c r="Q1" s="286">
        <f>IF($K$48="E",P27+1000,P27+900)</f>
        <v>73800</v>
      </c>
      <c r="R1" s="286">
        <f>IF($K$48="E",Q27+1000,Q27+900)</f>
        <v>98100</v>
      </c>
      <c r="T1" s="168">
        <v>0</v>
      </c>
      <c r="U1" s="168">
        <v>0</v>
      </c>
      <c r="W1" s="1190" t="s">
        <v>2110</v>
      </c>
      <c r="X1" s="760">
        <v>60025</v>
      </c>
      <c r="Y1" s="286">
        <f>IF(W14="","",VLOOKUP(W15,W1:Z12,4,FALSE))</f>
      </c>
      <c r="Z1" s="286">
        <v>1</v>
      </c>
      <c r="AA1" s="286">
        <f>IF($K$48="E",R27+1000,R27+900)</f>
        <v>122400</v>
      </c>
      <c r="AB1" s="286">
        <f>IF($K$48="E",AA27+1000,AA27+900)</f>
        <v>146700</v>
      </c>
      <c r="AC1" s="286">
        <f>IF($K$48="E",AB27+1000,AB27+900)</f>
        <v>171000</v>
      </c>
      <c r="AD1" s="286">
        <f>IF($K$48="E",AC27+1000,AC27+900)</f>
        <v>195300</v>
      </c>
      <c r="AE1" s="286">
        <f>IF($K$48="E",AD27+1000,AD27+900)</f>
        <v>219600</v>
      </c>
    </row>
    <row r="2" spans="1:63" ht="12.75">
      <c r="A2" s="1191" t="s">
        <v>2204</v>
      </c>
      <c r="B2" s="1192">
        <f>'Design Data'!T15</f>
        <v>100</v>
      </c>
      <c r="C2" s="286">
        <v>50</v>
      </c>
      <c r="D2" s="286">
        <f aca="true" t="shared" si="0" ref="D2:D15">C2^0.45</f>
        <v>5.814823031727799</v>
      </c>
      <c r="H2" s="286">
        <f>D2</f>
        <v>5.814823031727799</v>
      </c>
      <c r="I2" s="286">
        <v>0</v>
      </c>
      <c r="L2" s="286">
        <f>COUNTA('Design Data'!U16:U28)</f>
        <v>1</v>
      </c>
      <c r="N2" s="286">
        <f>IF($K$48="E",N1+1000,N1+900)</f>
        <v>1800</v>
      </c>
      <c r="O2" s="286">
        <f>IF($K$48="E",O1+1000,O1+900)</f>
        <v>26100</v>
      </c>
      <c r="P2" s="286">
        <f aca="true" t="shared" si="1" ref="P2:R17">IF($K$48="E",P1+1000,P1+900)</f>
        <v>50400</v>
      </c>
      <c r="Q2" s="286">
        <f t="shared" si="1"/>
        <v>74700</v>
      </c>
      <c r="R2" s="286">
        <f t="shared" si="1"/>
        <v>99000</v>
      </c>
      <c r="W2" s="1190" t="s">
        <v>2111</v>
      </c>
      <c r="X2" s="760">
        <v>60050</v>
      </c>
      <c r="Y2" s="286">
        <f>IF(W14="","",VLOOKUP(W15,W1:Z12,2,FALSE))</f>
      </c>
      <c r="Z2" s="286">
        <v>2</v>
      </c>
      <c r="AA2" s="286">
        <f aca="true" t="shared" si="2" ref="AA2:AB27">IF($K$48="E",AA1+1000,AA1+900)</f>
        <v>123300</v>
      </c>
      <c r="AB2" s="286">
        <f t="shared" si="2"/>
        <v>147600</v>
      </c>
      <c r="AC2" s="286">
        <f aca="true" t="shared" si="3" ref="AC2:AC27">IF($K$48="E",AC1+1000,AC1+900)</f>
        <v>171900</v>
      </c>
      <c r="AD2" s="286">
        <f aca="true" t="shared" si="4" ref="AD2:AD27">IF($K$48="E",AD1+1000,AD1+900)</f>
        <v>196200</v>
      </c>
      <c r="AE2" s="286">
        <f aca="true" t="shared" si="5" ref="AE2:AE27">IF($K$48="E",AE1+1000,AE1+900)</f>
        <v>220500</v>
      </c>
      <c r="AH2" s="1193" t="s">
        <v>2047</v>
      </c>
      <c r="AI2" s="1194" t="s">
        <v>1955</v>
      </c>
      <c r="AM2" s="1195" t="s">
        <v>1312</v>
      </c>
      <c r="AN2" s="1195" t="s">
        <v>1313</v>
      </c>
      <c r="AR2" t="s">
        <v>845</v>
      </c>
      <c r="AS2" s="286" t="s">
        <v>749</v>
      </c>
      <c r="AV2" s="1190" t="s">
        <v>1986</v>
      </c>
      <c r="AY2" s="286" t="s">
        <v>2526</v>
      </c>
      <c r="AZ2" s="286" t="s">
        <v>2527</v>
      </c>
      <c r="BA2" s="286" t="s">
        <v>2559</v>
      </c>
      <c r="BB2" s="286" t="s">
        <v>2535</v>
      </c>
      <c r="BC2" s="286" t="s">
        <v>2560</v>
      </c>
      <c r="BD2" s="286" t="s">
        <v>2526</v>
      </c>
      <c r="BE2" s="286" t="s">
        <v>2535</v>
      </c>
      <c r="BF2" s="286" t="s">
        <v>2527</v>
      </c>
      <c r="BG2" s="286" t="s">
        <v>2531</v>
      </c>
      <c r="BH2" s="286" t="s">
        <v>2533</v>
      </c>
      <c r="BI2" s="286" t="s">
        <v>2550</v>
      </c>
      <c r="BK2" s="1459">
        <f>'Chart Data'!J48</f>
      </c>
    </row>
    <row r="3" spans="1:63" ht="12.75">
      <c r="A3" s="1191" t="s">
        <v>2199</v>
      </c>
      <c r="B3" s="1192">
        <f>'Design Data'!T16</f>
        <v>0</v>
      </c>
      <c r="C3" s="286">
        <v>37.5</v>
      </c>
      <c r="D3" s="286">
        <f t="shared" si="0"/>
        <v>5.1087431744234335</v>
      </c>
      <c r="E3" s="741">
        <v>25</v>
      </c>
      <c r="F3" s="286">
        <f aca="true" t="shared" si="6" ref="F3:F10">E3^0.45</f>
        <v>4.256699612603923</v>
      </c>
      <c r="G3" s="741">
        <v>100</v>
      </c>
      <c r="H3" s="286">
        <f>D2</f>
        <v>5.814823031727799</v>
      </c>
      <c r="I3" s="286">
        <v>100</v>
      </c>
      <c r="L3" s="286">
        <f>COUNTA('Design Data'!T16:T28)</f>
        <v>1</v>
      </c>
      <c r="N3" s="286">
        <f aca="true" t="shared" si="7" ref="N3:N27">IF($K$48="E",N2+1000,N2+900)</f>
        <v>2700</v>
      </c>
      <c r="O3" s="286">
        <f aca="true" t="shared" si="8" ref="O3:O27">IF($K$48="E",O2+1000,O2+900)</f>
        <v>27000</v>
      </c>
      <c r="P3" s="286">
        <f t="shared" si="1"/>
        <v>51300</v>
      </c>
      <c r="Q3" s="286">
        <f t="shared" si="1"/>
        <v>75600</v>
      </c>
      <c r="R3" s="286">
        <f t="shared" si="1"/>
        <v>99900</v>
      </c>
      <c r="T3" s="174"/>
      <c r="W3" s="1190" t="s">
        <v>2109</v>
      </c>
      <c r="X3" s="760">
        <v>60075</v>
      </c>
      <c r="Z3" s="286">
        <v>3</v>
      </c>
      <c r="AA3" s="286">
        <f t="shared" si="2"/>
        <v>124200</v>
      </c>
      <c r="AB3" s="286">
        <f t="shared" si="2"/>
        <v>148500</v>
      </c>
      <c r="AC3" s="286">
        <f t="shared" si="3"/>
        <v>172800</v>
      </c>
      <c r="AD3" s="286">
        <f t="shared" si="4"/>
        <v>197100</v>
      </c>
      <c r="AE3" s="286">
        <f t="shared" si="5"/>
        <v>221400</v>
      </c>
      <c r="AH3" s="1193" t="s">
        <v>2048</v>
      </c>
      <c r="AI3" s="1194" t="s">
        <v>1956</v>
      </c>
      <c r="AM3" s="1195" t="s">
        <v>1122</v>
      </c>
      <c r="AN3" s="1195" t="s">
        <v>1314</v>
      </c>
      <c r="AR3" t="s">
        <v>846</v>
      </c>
      <c r="AS3" s="286" t="s">
        <v>748</v>
      </c>
      <c r="AV3" s="1190" t="s">
        <v>1987</v>
      </c>
      <c r="AY3" s="1190">
        <f>IF(OR($BK$2=0.5,$BK$2=0.38,$BK$2="No. 4"),1,0)</f>
        <v>0</v>
      </c>
      <c r="AZ3" s="1458">
        <f aca="true" t="shared" si="9" ref="AZ3:AZ16">IF($BK$7=BF3,1,0)</f>
        <v>0</v>
      </c>
      <c r="BA3" s="1190">
        <f>IF($BK$6&lt;=20,1,0)</f>
        <v>0</v>
      </c>
      <c r="BB3" s="1190">
        <f>IF($BK$3=BE3,1,0)</f>
        <v>0</v>
      </c>
      <c r="BC3" s="1190">
        <f>SUM(AY3:BB3)</f>
        <v>0</v>
      </c>
      <c r="BD3" s="286" t="s">
        <v>2538</v>
      </c>
      <c r="BE3" s="286" t="s">
        <v>2109</v>
      </c>
      <c r="BF3" s="286" t="s">
        <v>2528</v>
      </c>
      <c r="BG3" s="286" t="s">
        <v>2532</v>
      </c>
      <c r="BH3" s="286" t="s">
        <v>2534</v>
      </c>
      <c r="BI3" s="286" t="s">
        <v>2551</v>
      </c>
      <c r="BK3" s="286">
        <f>F48</f>
      </c>
    </row>
    <row r="4" spans="1:63" ht="12.75">
      <c r="A4" s="1187" t="s">
        <v>2200</v>
      </c>
      <c r="B4" s="1192">
        <f>'Design Data'!T17</f>
        <v>0</v>
      </c>
      <c r="C4" s="286">
        <v>25</v>
      </c>
      <c r="D4" s="286">
        <f t="shared" si="0"/>
        <v>4.256699612603923</v>
      </c>
      <c r="E4" s="741">
        <v>19</v>
      </c>
      <c r="F4" s="286">
        <f t="shared" si="6"/>
        <v>3.762176102386298</v>
      </c>
      <c r="G4" s="741">
        <v>100</v>
      </c>
      <c r="H4" s="286">
        <f>D3</f>
        <v>5.1087431744234335</v>
      </c>
      <c r="L4" s="286">
        <f>IF(ISNUMBER('Design Data'!H20),1,0)</f>
        <v>0</v>
      </c>
      <c r="N4" s="286">
        <f t="shared" si="7"/>
        <v>3600</v>
      </c>
      <c r="O4" s="286">
        <f t="shared" si="8"/>
        <v>27900</v>
      </c>
      <c r="P4" s="286">
        <f t="shared" si="1"/>
        <v>52200</v>
      </c>
      <c r="Q4" s="286">
        <f t="shared" si="1"/>
        <v>76500</v>
      </c>
      <c r="R4" s="286">
        <f t="shared" si="1"/>
        <v>100800</v>
      </c>
      <c r="S4" s="286" t="s">
        <v>905</v>
      </c>
      <c r="T4" s="174" t="s">
        <v>905</v>
      </c>
      <c r="W4" s="1190" t="s">
        <v>2112</v>
      </c>
      <c r="X4" s="760">
        <v>60100</v>
      </c>
      <c r="Z4" s="286">
        <v>4</v>
      </c>
      <c r="AA4" s="286">
        <f t="shared" si="2"/>
        <v>125100</v>
      </c>
      <c r="AB4" s="286">
        <f t="shared" si="2"/>
        <v>149400</v>
      </c>
      <c r="AC4" s="286">
        <f t="shared" si="3"/>
        <v>173700</v>
      </c>
      <c r="AD4" s="286">
        <f t="shared" si="4"/>
        <v>198000</v>
      </c>
      <c r="AE4" s="286">
        <f t="shared" si="5"/>
        <v>222300</v>
      </c>
      <c r="AH4" s="1193" t="s">
        <v>2049</v>
      </c>
      <c r="AI4" s="1194" t="s">
        <v>1957</v>
      </c>
      <c r="AM4" s="1195" t="s">
        <v>1123</v>
      </c>
      <c r="AN4" s="1195" t="s">
        <v>1315</v>
      </c>
      <c r="AR4" t="s">
        <v>847</v>
      </c>
      <c r="AS4" s="286" t="s">
        <v>751</v>
      </c>
      <c r="AV4" s="1190" t="s">
        <v>1988</v>
      </c>
      <c r="AY4" s="1190">
        <f aca="true" t="shared" si="10" ref="AY4:AY9">IF(OR($BK$2=0.5,$BK$2=0.38,$BK$2="No. 4"),1,0)</f>
        <v>0</v>
      </c>
      <c r="AZ4" s="1458">
        <f t="shared" si="9"/>
        <v>0</v>
      </c>
      <c r="BA4" s="1190">
        <f>IF(AND($BK$6&gt;=21,$BK$6&lt;=30),1,0)</f>
        <v>0</v>
      </c>
      <c r="BB4" s="1190">
        <f aca="true" t="shared" si="11" ref="BB4:BB16">IF($BK$3=BE4,1,0)</f>
        <v>0</v>
      </c>
      <c r="BC4" s="1190">
        <f aca="true" t="shared" si="12" ref="BC4:BC16">SUM(AY4:BB4)</f>
        <v>0</v>
      </c>
      <c r="BD4" s="286" t="s">
        <v>2538</v>
      </c>
      <c r="BE4" s="286" t="s">
        <v>2109</v>
      </c>
      <c r="BF4" s="286" t="s">
        <v>2528</v>
      </c>
      <c r="BG4" s="286" t="s">
        <v>1346</v>
      </c>
      <c r="BH4" s="286" t="s">
        <v>2545</v>
      </c>
      <c r="BI4" s="286" t="s">
        <v>2552</v>
      </c>
      <c r="BK4" s="286">
        <f>'Recycle Data'!J17</f>
        <v>0</v>
      </c>
    </row>
    <row r="5" spans="1:63" ht="12.75">
      <c r="A5" s="1187" t="s">
        <v>2201</v>
      </c>
      <c r="B5" s="1192">
        <f>'Design Data'!T18</f>
        <v>0</v>
      </c>
      <c r="C5" s="286">
        <v>19</v>
      </c>
      <c r="D5" s="286">
        <f t="shared" si="0"/>
        <v>3.762176102386298</v>
      </c>
      <c r="E5" s="741">
        <v>19</v>
      </c>
      <c r="F5" s="286">
        <f t="shared" si="6"/>
        <v>3.762176102386298</v>
      </c>
      <c r="G5" s="741">
        <v>90</v>
      </c>
      <c r="H5" s="286">
        <f>D3</f>
        <v>5.1087431744234335</v>
      </c>
      <c r="L5" s="286">
        <f>COUNTIF('Design Data'!O52:O70,"")</f>
        <v>19</v>
      </c>
      <c r="N5" s="286">
        <f t="shared" si="7"/>
        <v>4500</v>
      </c>
      <c r="O5" s="286">
        <f t="shared" si="8"/>
        <v>28800</v>
      </c>
      <c r="P5" s="286">
        <f t="shared" si="1"/>
        <v>53100</v>
      </c>
      <c r="Q5" s="286">
        <f t="shared" si="1"/>
        <v>77400</v>
      </c>
      <c r="R5" s="286">
        <f t="shared" si="1"/>
        <v>101700</v>
      </c>
      <c r="S5" s="286" t="s">
        <v>1337</v>
      </c>
      <c r="T5" s="174">
        <v>2</v>
      </c>
      <c r="W5" s="1190" t="s">
        <v>2113</v>
      </c>
      <c r="X5" s="760">
        <v>60125</v>
      </c>
      <c r="Z5" s="286">
        <v>5</v>
      </c>
      <c r="AA5" s="286">
        <f t="shared" si="2"/>
        <v>126000</v>
      </c>
      <c r="AB5" s="286">
        <f t="shared" si="2"/>
        <v>150300</v>
      </c>
      <c r="AC5" s="286">
        <f t="shared" si="3"/>
        <v>174600</v>
      </c>
      <c r="AD5" s="286">
        <f t="shared" si="4"/>
        <v>198900</v>
      </c>
      <c r="AE5" s="286">
        <f t="shared" si="5"/>
        <v>223200</v>
      </c>
      <c r="AH5" s="1193" t="s">
        <v>2427</v>
      </c>
      <c r="AI5" s="1194" t="s">
        <v>2428</v>
      </c>
      <c r="AM5" s="1195" t="s">
        <v>1124</v>
      </c>
      <c r="AN5" s="1195" t="s">
        <v>1316</v>
      </c>
      <c r="AR5" t="s">
        <v>848</v>
      </c>
      <c r="AS5" s="286" t="s">
        <v>750</v>
      </c>
      <c r="AV5" s="1190" t="s">
        <v>1989</v>
      </c>
      <c r="AY5" s="1190">
        <f t="shared" si="10"/>
        <v>0</v>
      </c>
      <c r="AZ5" s="1458">
        <f t="shared" si="9"/>
        <v>0</v>
      </c>
      <c r="BA5" s="1190">
        <f>IF($BK$6&lt;=20,1,0)</f>
        <v>0</v>
      </c>
      <c r="BB5" s="1190">
        <f t="shared" si="11"/>
        <v>0</v>
      </c>
      <c r="BC5" s="1190">
        <f t="shared" si="12"/>
        <v>0</v>
      </c>
      <c r="BD5" s="286" t="s">
        <v>2538</v>
      </c>
      <c r="BE5" s="286" t="s">
        <v>2116</v>
      </c>
      <c r="BF5" s="286" t="s">
        <v>2528</v>
      </c>
      <c r="BG5" s="286" t="s">
        <v>2532</v>
      </c>
      <c r="BH5" s="286" t="s">
        <v>2536</v>
      </c>
      <c r="BI5" s="286" t="s">
        <v>2553</v>
      </c>
      <c r="BK5" s="286">
        <f>'Recycle Data'!J23</f>
      </c>
    </row>
    <row r="6" spans="1:63" ht="12.75">
      <c r="A6" s="1187" t="s">
        <v>2202</v>
      </c>
      <c r="B6" s="1192">
        <f>'Design Data'!T19</f>
        <v>0</v>
      </c>
      <c r="C6" s="286">
        <v>12.5</v>
      </c>
      <c r="D6" s="286">
        <f t="shared" si="0"/>
        <v>3.116086507375345</v>
      </c>
      <c r="E6" s="741">
        <v>12.5</v>
      </c>
      <c r="F6" s="286">
        <f t="shared" si="6"/>
        <v>3.116086507375345</v>
      </c>
      <c r="G6" s="741">
        <v>90</v>
      </c>
      <c r="H6" s="286">
        <f>D4</f>
        <v>4.256699612603923</v>
      </c>
      <c r="N6" s="286">
        <f t="shared" si="7"/>
        <v>5400</v>
      </c>
      <c r="O6" s="286">
        <f t="shared" si="8"/>
        <v>29700</v>
      </c>
      <c r="P6" s="286">
        <f t="shared" si="1"/>
        <v>54000</v>
      </c>
      <c r="Q6" s="286">
        <f t="shared" si="1"/>
        <v>78300</v>
      </c>
      <c r="R6" s="286">
        <f t="shared" si="1"/>
        <v>102600</v>
      </c>
      <c r="W6" s="1190" t="s">
        <v>2114</v>
      </c>
      <c r="X6" s="760">
        <v>60150</v>
      </c>
      <c r="Z6" s="286">
        <v>6</v>
      </c>
      <c r="AA6" s="286">
        <f t="shared" si="2"/>
        <v>126900</v>
      </c>
      <c r="AB6" s="286">
        <f t="shared" si="2"/>
        <v>151200</v>
      </c>
      <c r="AC6" s="286">
        <f t="shared" si="3"/>
        <v>175500</v>
      </c>
      <c r="AD6" s="286">
        <f t="shared" si="4"/>
        <v>199800</v>
      </c>
      <c r="AE6" s="286">
        <f t="shared" si="5"/>
        <v>224100</v>
      </c>
      <c r="AH6" s="1193" t="s">
        <v>2450</v>
      </c>
      <c r="AI6" s="1194" t="s">
        <v>2449</v>
      </c>
      <c r="AM6" s="1195" t="s">
        <v>1642</v>
      </c>
      <c r="AN6" s="1195" t="s">
        <v>1643</v>
      </c>
      <c r="AR6" t="s">
        <v>2015</v>
      </c>
      <c r="AS6" s="286" t="s">
        <v>764</v>
      </c>
      <c r="AV6" s="1190" t="s">
        <v>1990</v>
      </c>
      <c r="AY6" s="1190">
        <f t="shared" si="10"/>
        <v>0</v>
      </c>
      <c r="AZ6" s="1458">
        <f t="shared" si="9"/>
        <v>0</v>
      </c>
      <c r="BA6" s="1190">
        <f>IF($BK$6&lt;=13,1,0)</f>
        <v>0</v>
      </c>
      <c r="BB6" s="1190">
        <f t="shared" si="11"/>
        <v>0</v>
      </c>
      <c r="BC6" s="1190">
        <f t="shared" si="12"/>
        <v>0</v>
      </c>
      <c r="BD6" s="286" t="s">
        <v>2538</v>
      </c>
      <c r="BE6" s="286" t="s">
        <v>2109</v>
      </c>
      <c r="BF6" s="286" t="s">
        <v>2529</v>
      </c>
      <c r="BG6" s="286" t="s">
        <v>2537</v>
      </c>
      <c r="BH6" s="286" t="s">
        <v>2534</v>
      </c>
      <c r="BI6" s="286" t="s">
        <v>2554</v>
      </c>
      <c r="BK6" s="286">
        <f>IF(OR(BK4="",BK5=""),"",ROUND(BK5/BK4*100,0))</f>
      </c>
    </row>
    <row r="7" spans="1:63" ht="12.75">
      <c r="A7" s="1187" t="s">
        <v>2203</v>
      </c>
      <c r="B7" s="1192">
        <f>'Design Data'!T20</f>
        <v>0</v>
      </c>
      <c r="C7" s="286">
        <v>9.5</v>
      </c>
      <c r="D7" s="286">
        <f t="shared" si="0"/>
        <v>2.754074108566122</v>
      </c>
      <c r="E7" s="741">
        <v>2.36</v>
      </c>
      <c r="F7" s="286">
        <f t="shared" si="6"/>
        <v>1.4716698795820382</v>
      </c>
      <c r="G7" s="741">
        <v>49</v>
      </c>
      <c r="H7" s="286">
        <f>D4</f>
        <v>4.256699612603923</v>
      </c>
      <c r="J7" s="286" t="s">
        <v>1104</v>
      </c>
      <c r="M7" s="286">
        <f>IF(ISERROR(VLOOKUP(J7,J9:M12,4,FALSE)),"",VLOOKUP(J7,J9:M12,4,FALSE))</f>
      </c>
      <c r="N7" s="286">
        <f t="shared" si="7"/>
        <v>6300</v>
      </c>
      <c r="O7" s="286">
        <f t="shared" si="8"/>
        <v>30600</v>
      </c>
      <c r="P7" s="286">
        <f t="shared" si="1"/>
        <v>54900</v>
      </c>
      <c r="Q7" s="286">
        <f t="shared" si="1"/>
        <v>79200</v>
      </c>
      <c r="R7" s="286">
        <f t="shared" si="1"/>
        <v>103500</v>
      </c>
      <c r="W7" s="1190" t="s">
        <v>2115</v>
      </c>
      <c r="X7" s="760">
        <v>60175</v>
      </c>
      <c r="Z7" s="286">
        <v>7</v>
      </c>
      <c r="AA7" s="286">
        <f t="shared" si="2"/>
        <v>127800</v>
      </c>
      <c r="AB7" s="286">
        <f t="shared" si="2"/>
        <v>152100</v>
      </c>
      <c r="AC7" s="286">
        <f t="shared" si="3"/>
        <v>176400</v>
      </c>
      <c r="AD7" s="286">
        <f t="shared" si="4"/>
        <v>200700</v>
      </c>
      <c r="AE7" s="286">
        <f t="shared" si="5"/>
        <v>225000</v>
      </c>
      <c r="AH7" s="1193" t="s">
        <v>2064</v>
      </c>
      <c r="AI7" s="1194" t="s">
        <v>2044</v>
      </c>
      <c r="AM7" s="1195" t="s">
        <v>1125</v>
      </c>
      <c r="AN7" s="1195" t="s">
        <v>792</v>
      </c>
      <c r="AR7" t="s">
        <v>832</v>
      </c>
      <c r="AS7" s="286" t="s">
        <v>765</v>
      </c>
      <c r="AV7" s="1190" t="s">
        <v>1991</v>
      </c>
      <c r="AY7" s="1190">
        <f t="shared" si="10"/>
        <v>0</v>
      </c>
      <c r="AZ7" s="1458">
        <f t="shared" si="9"/>
        <v>0</v>
      </c>
      <c r="BA7" s="1190">
        <f>IF(AND($BK$6&gt;=14,$BK$6&lt;=20),1,0)</f>
        <v>0</v>
      </c>
      <c r="BB7" s="1190">
        <f t="shared" si="11"/>
        <v>0</v>
      </c>
      <c r="BC7" s="1190">
        <f t="shared" si="12"/>
        <v>0</v>
      </c>
      <c r="BD7" s="286" t="s">
        <v>2538</v>
      </c>
      <c r="BE7" s="286" t="s">
        <v>2109</v>
      </c>
      <c r="BF7" s="286" t="s">
        <v>2529</v>
      </c>
      <c r="BG7" s="286" t="s">
        <v>2539</v>
      </c>
      <c r="BH7" s="286" t="s">
        <v>2545</v>
      </c>
      <c r="BI7" s="286" t="s">
        <v>2555</v>
      </c>
      <c r="BK7" s="286">
        <f>IF(BK5="","",IF(AND(U55&gt;=1,V55=0),"RAS",IF(AND(U55=0,V55&gt;=1),"RAP",IF(AND(U55&gt;=1,V55&gt;=1),"Both",""))))</f>
      </c>
    </row>
    <row r="8" spans="1:60" ht="12.75">
      <c r="A8" s="1187" t="s">
        <v>950</v>
      </c>
      <c r="B8" s="1192">
        <f>'Design Data'!T22</f>
        <v>0</v>
      </c>
      <c r="C8" s="286">
        <v>4.75</v>
      </c>
      <c r="D8" s="286">
        <f t="shared" si="0"/>
        <v>2.016100253962929</v>
      </c>
      <c r="E8" s="741">
        <v>2.36</v>
      </c>
      <c r="F8" s="286">
        <f t="shared" si="6"/>
        <v>1.4716698795820382</v>
      </c>
      <c r="G8" s="741">
        <v>23</v>
      </c>
      <c r="H8" s="286">
        <f>D5</f>
        <v>3.762176102386298</v>
      </c>
      <c r="N8" s="286">
        <f t="shared" si="7"/>
        <v>7200</v>
      </c>
      <c r="O8" s="286">
        <f t="shared" si="8"/>
        <v>31500</v>
      </c>
      <c r="P8" s="286">
        <f t="shared" si="1"/>
        <v>55800</v>
      </c>
      <c r="Q8" s="286">
        <f t="shared" si="1"/>
        <v>80100</v>
      </c>
      <c r="R8" s="286">
        <f t="shared" si="1"/>
        <v>104400</v>
      </c>
      <c r="W8" s="1190" t="s">
        <v>2116</v>
      </c>
      <c r="X8" s="760">
        <v>60200</v>
      </c>
      <c r="Z8" s="286">
        <v>8</v>
      </c>
      <c r="AA8" s="286">
        <f t="shared" si="2"/>
        <v>128700</v>
      </c>
      <c r="AB8" s="286">
        <f t="shared" si="2"/>
        <v>153000</v>
      </c>
      <c r="AC8" s="286">
        <f t="shared" si="3"/>
        <v>177300</v>
      </c>
      <c r="AD8" s="286">
        <f t="shared" si="4"/>
        <v>201600</v>
      </c>
      <c r="AE8" s="286">
        <f t="shared" si="5"/>
        <v>225900</v>
      </c>
      <c r="AH8" s="1193" t="s">
        <v>2050</v>
      </c>
      <c r="AI8" s="1197" t="s">
        <v>1958</v>
      </c>
      <c r="AM8" s="1195" t="s">
        <v>1126</v>
      </c>
      <c r="AN8" s="1195" t="s">
        <v>2082</v>
      </c>
      <c r="AR8" t="s">
        <v>833</v>
      </c>
      <c r="AS8" s="286" t="s">
        <v>766</v>
      </c>
      <c r="AV8" s="1190" t="s">
        <v>1992</v>
      </c>
      <c r="AY8" s="1190">
        <f t="shared" si="10"/>
        <v>0</v>
      </c>
      <c r="AZ8" s="1458">
        <f t="shared" si="9"/>
        <v>0</v>
      </c>
      <c r="BA8" s="1190">
        <f>IF($BK$6&lt;=15,1,0)</f>
        <v>0</v>
      </c>
      <c r="BB8" s="1190">
        <f t="shared" si="11"/>
        <v>0</v>
      </c>
      <c r="BC8" s="1190">
        <f t="shared" si="12"/>
        <v>0</v>
      </c>
      <c r="BD8" s="286" t="s">
        <v>2538</v>
      </c>
      <c r="BE8" s="286" t="s">
        <v>2109</v>
      </c>
      <c r="BF8" s="286" t="s">
        <v>2530</v>
      </c>
      <c r="BG8" s="286" t="s">
        <v>2540</v>
      </c>
      <c r="BH8" s="286" t="s">
        <v>2534</v>
      </c>
    </row>
    <row r="9" spans="1:63" ht="12.75">
      <c r="A9" s="1187" t="s">
        <v>952</v>
      </c>
      <c r="B9" s="1192">
        <f>'Design Data'!T23</f>
        <v>0</v>
      </c>
      <c r="C9" s="286">
        <v>2.36</v>
      </c>
      <c r="D9" s="286">
        <f t="shared" si="0"/>
        <v>1.4716698795820382</v>
      </c>
      <c r="E9" s="741">
        <v>0.075</v>
      </c>
      <c r="F9" s="286">
        <f t="shared" si="6"/>
        <v>0.3117292599535</v>
      </c>
      <c r="G9" s="741">
        <v>8</v>
      </c>
      <c r="H9" s="286">
        <f>D5</f>
        <v>3.762176102386298</v>
      </c>
      <c r="J9" s="1190" t="s">
        <v>2227</v>
      </c>
      <c r="M9" s="286">
        <v>1</v>
      </c>
      <c r="N9" s="286">
        <f t="shared" si="7"/>
        <v>8100</v>
      </c>
      <c r="O9" s="286">
        <f t="shared" si="8"/>
        <v>32400</v>
      </c>
      <c r="P9" s="286">
        <f t="shared" si="1"/>
        <v>56700</v>
      </c>
      <c r="Q9" s="286">
        <f t="shared" si="1"/>
        <v>81000</v>
      </c>
      <c r="R9" s="286">
        <f t="shared" si="1"/>
        <v>105300</v>
      </c>
      <c r="S9" s="1196" t="s">
        <v>2</v>
      </c>
      <c r="T9" s="1190">
        <f>IF('Design Data'!N79="","",2525)</f>
      </c>
      <c r="V9" s="286">
        <v>1</v>
      </c>
      <c r="W9" s="1190" t="s">
        <v>2117</v>
      </c>
      <c r="X9" s="760">
        <v>60225</v>
      </c>
      <c r="Z9" s="286">
        <v>9</v>
      </c>
      <c r="AA9" s="286">
        <f t="shared" si="2"/>
        <v>129600</v>
      </c>
      <c r="AB9" s="286">
        <f t="shared" si="2"/>
        <v>153900</v>
      </c>
      <c r="AC9" s="286">
        <f t="shared" si="3"/>
        <v>178200</v>
      </c>
      <c r="AD9" s="286">
        <f t="shared" si="4"/>
        <v>202500</v>
      </c>
      <c r="AE9" s="286">
        <f t="shared" si="5"/>
        <v>226800</v>
      </c>
      <c r="AH9" s="1193" t="s">
        <v>2499</v>
      </c>
      <c r="AI9" s="1194" t="s">
        <v>2500</v>
      </c>
      <c r="AM9" s="1195" t="s">
        <v>1132</v>
      </c>
      <c r="AN9" s="1195" t="s">
        <v>1317</v>
      </c>
      <c r="AR9" t="s">
        <v>2016</v>
      </c>
      <c r="AS9" s="286" t="s">
        <v>767</v>
      </c>
      <c r="AV9" s="1190" t="s">
        <v>1993</v>
      </c>
      <c r="AY9" s="1190">
        <f t="shared" si="10"/>
        <v>0</v>
      </c>
      <c r="AZ9" s="1458">
        <f t="shared" si="9"/>
        <v>0</v>
      </c>
      <c r="BA9" s="1190">
        <f>IF(AND($BK$6&gt;=16,$BK$6&lt;=25),1,0)</f>
        <v>0</v>
      </c>
      <c r="BB9" s="1190">
        <f t="shared" si="11"/>
        <v>0</v>
      </c>
      <c r="BC9" s="1190">
        <f t="shared" si="12"/>
        <v>0</v>
      </c>
      <c r="BD9" s="286" t="s">
        <v>2538</v>
      </c>
      <c r="BE9" s="286" t="s">
        <v>2109</v>
      </c>
      <c r="BF9" s="286" t="s">
        <v>2530</v>
      </c>
      <c r="BG9" s="286" t="s">
        <v>2541</v>
      </c>
      <c r="BH9" s="286" t="s">
        <v>2545</v>
      </c>
      <c r="BI9" s="286" t="s">
        <v>2556</v>
      </c>
      <c r="BK9" s="286">
        <f>IF(BK7="","",IF(OR(BC3=4,BC4=4,BC5=4,BC6=4,BC7=4,BC8=4,BC9=4,BC10=4,BC11=4,BC12=4,BC13=4,BC14=4,BC15=4,BC16=4),"YES","NO"))</f>
      </c>
    </row>
    <row r="10" spans="1:63" ht="12.75">
      <c r="A10" s="1187" t="s">
        <v>956</v>
      </c>
      <c r="B10" s="1192">
        <f>'Design Data'!T24</f>
        <v>0</v>
      </c>
      <c r="C10" s="286">
        <v>1.18</v>
      </c>
      <c r="D10" s="286">
        <f t="shared" si="0"/>
        <v>1.0773254099250416</v>
      </c>
      <c r="E10" s="741">
        <v>0.075</v>
      </c>
      <c r="F10" s="286">
        <f t="shared" si="6"/>
        <v>0.3117292599535</v>
      </c>
      <c r="G10" s="741">
        <v>2</v>
      </c>
      <c r="H10" s="286">
        <f>D6</f>
        <v>3.116086507375345</v>
      </c>
      <c r="J10" s="1190" t="s">
        <v>2229</v>
      </c>
      <c r="M10" s="286">
        <v>2</v>
      </c>
      <c r="N10" s="286">
        <f t="shared" si="7"/>
        <v>9000</v>
      </c>
      <c r="O10" s="286">
        <f t="shared" si="8"/>
        <v>33300</v>
      </c>
      <c r="P10" s="286">
        <f t="shared" si="1"/>
        <v>57600</v>
      </c>
      <c r="Q10" s="286">
        <f t="shared" si="1"/>
        <v>81900</v>
      </c>
      <c r="R10" s="286">
        <f t="shared" si="1"/>
        <v>106200</v>
      </c>
      <c r="S10" s="1196" t="s">
        <v>4</v>
      </c>
      <c r="T10" s="286">
        <f>IF('Design Data'!Q79="","",1425)</f>
      </c>
      <c r="W10" s="1190" t="s">
        <v>2118</v>
      </c>
      <c r="X10" s="760">
        <v>60250</v>
      </c>
      <c r="Z10" s="286">
        <v>10</v>
      </c>
      <c r="AA10" s="286">
        <f t="shared" si="2"/>
        <v>130500</v>
      </c>
      <c r="AB10" s="286">
        <f t="shared" si="2"/>
        <v>154800</v>
      </c>
      <c r="AC10" s="286">
        <f t="shared" si="3"/>
        <v>179100</v>
      </c>
      <c r="AD10" s="286">
        <f t="shared" si="4"/>
        <v>203400</v>
      </c>
      <c r="AE10" s="286">
        <f t="shared" si="5"/>
        <v>227700</v>
      </c>
      <c r="AH10" s="1193" t="s">
        <v>519</v>
      </c>
      <c r="AI10" s="1194" t="s">
        <v>520</v>
      </c>
      <c r="AM10" s="1195" t="s">
        <v>2482</v>
      </c>
      <c r="AN10" s="1195" t="s">
        <v>2483</v>
      </c>
      <c r="AR10" t="s">
        <v>834</v>
      </c>
      <c r="AS10" s="286" t="s">
        <v>768</v>
      </c>
      <c r="AV10" s="1190" t="s">
        <v>1994</v>
      </c>
      <c r="AY10" s="1190">
        <f>IF(OR($BK$2=1.5,$BK$2=1,$BK$2=0.75),1,0)</f>
        <v>0</v>
      </c>
      <c r="AZ10" s="1458">
        <f t="shared" si="9"/>
        <v>0</v>
      </c>
      <c r="BA10" s="1190">
        <f>IF($BK$6&lt;=25,1,0)</f>
        <v>0</v>
      </c>
      <c r="BB10" s="1190">
        <f t="shared" si="11"/>
        <v>0</v>
      </c>
      <c r="BC10" s="1190">
        <f t="shared" si="12"/>
        <v>0</v>
      </c>
      <c r="BD10" s="286" t="s">
        <v>2542</v>
      </c>
      <c r="BE10" s="286" t="s">
        <v>2109</v>
      </c>
      <c r="BF10" s="286" t="s">
        <v>2528</v>
      </c>
      <c r="BG10" s="286" t="s">
        <v>2543</v>
      </c>
      <c r="BH10" s="286" t="s">
        <v>2534</v>
      </c>
      <c r="BI10" s="286" t="s">
        <v>2533</v>
      </c>
      <c r="BK10" s="286">
        <f>IF(BK9="YES",VLOOKUP(4,BC3:BH16,6,FALSE),"")</f>
      </c>
    </row>
    <row r="11" spans="1:60" ht="12.75">
      <c r="A11" s="1187" t="s">
        <v>958</v>
      </c>
      <c r="B11" s="1192">
        <f>'Design Data'!T25</f>
        <v>0</v>
      </c>
      <c r="C11" s="286">
        <v>0.6</v>
      </c>
      <c r="D11" s="286">
        <f t="shared" si="0"/>
        <v>0.7946356822402045</v>
      </c>
      <c r="H11" s="286">
        <f>D6</f>
        <v>3.116086507375345</v>
      </c>
      <c r="J11" s="1190" t="s">
        <v>1311</v>
      </c>
      <c r="M11" s="286">
        <v>3</v>
      </c>
      <c r="N11" s="286">
        <f t="shared" si="7"/>
        <v>9900</v>
      </c>
      <c r="O11" s="286">
        <f t="shared" si="8"/>
        <v>34200</v>
      </c>
      <c r="P11" s="286">
        <f t="shared" si="1"/>
        <v>58500</v>
      </c>
      <c r="Q11" s="286">
        <f t="shared" si="1"/>
        <v>82800</v>
      </c>
      <c r="R11" s="286">
        <f t="shared" si="1"/>
        <v>107100</v>
      </c>
      <c r="S11" s="1196" t="s">
        <v>1049</v>
      </c>
      <c r="T11" s="286">
        <f>IF('Design Data'!N80="","",85)</f>
      </c>
      <c r="W11" s="1190" t="s">
        <v>2119</v>
      </c>
      <c r="X11" s="760">
        <v>60275</v>
      </c>
      <c r="Z11" s="286">
        <v>11</v>
      </c>
      <c r="AA11" s="286">
        <f t="shared" si="2"/>
        <v>131400</v>
      </c>
      <c r="AB11" s="286">
        <f t="shared" si="2"/>
        <v>155700</v>
      </c>
      <c r="AC11" s="286">
        <f t="shared" si="3"/>
        <v>180000</v>
      </c>
      <c r="AD11" s="286">
        <f t="shared" si="4"/>
        <v>204300</v>
      </c>
      <c r="AE11" s="286">
        <f t="shared" si="5"/>
        <v>228600</v>
      </c>
      <c r="AH11" s="1193" t="s">
        <v>2051</v>
      </c>
      <c r="AI11" s="1194" t="s">
        <v>1952</v>
      </c>
      <c r="AM11" s="1195" t="s">
        <v>618</v>
      </c>
      <c r="AN11" s="1195" t="s">
        <v>619</v>
      </c>
      <c r="AR11" t="s">
        <v>835</v>
      </c>
      <c r="AS11" s="286" t="s">
        <v>769</v>
      </c>
      <c r="AV11" s="1190" t="s">
        <v>1995</v>
      </c>
      <c r="AY11" s="1190">
        <f aca="true" t="shared" si="13" ref="AY11:AY16">IF(OR($BK$2=1.5,$BK$2=1,$BK$2=0.75),1,0)</f>
        <v>0</v>
      </c>
      <c r="AZ11" s="1458">
        <f t="shared" si="9"/>
        <v>0</v>
      </c>
      <c r="BA11" s="1190">
        <f>IF(AND($BK$6&gt;=26,$BK$6&lt;=35),1,0)</f>
        <v>0</v>
      </c>
      <c r="BB11" s="1190">
        <f t="shared" si="11"/>
        <v>0</v>
      </c>
      <c r="BC11" s="1190">
        <f t="shared" si="12"/>
        <v>0</v>
      </c>
      <c r="BD11" s="286" t="s">
        <v>2542</v>
      </c>
      <c r="BE11" s="286" t="s">
        <v>2109</v>
      </c>
      <c r="BF11" s="286" t="s">
        <v>2528</v>
      </c>
      <c r="BG11" s="286" t="s">
        <v>2544</v>
      </c>
      <c r="BH11" s="286" t="s">
        <v>2545</v>
      </c>
    </row>
    <row r="12" spans="1:60" ht="12.75">
      <c r="A12" s="1187" t="s">
        <v>959</v>
      </c>
      <c r="B12" s="1192">
        <f>'Design Data'!T26</f>
        <v>0</v>
      </c>
      <c r="C12" s="286">
        <v>0.3</v>
      </c>
      <c r="D12" s="286">
        <f t="shared" si="0"/>
        <v>0.5817073679279383</v>
      </c>
      <c r="E12" s="1189" t="s">
        <v>1338</v>
      </c>
      <c r="F12" s="1189"/>
      <c r="G12" s="1189"/>
      <c r="H12" s="286">
        <f>D7</f>
        <v>2.754074108566122</v>
      </c>
      <c r="J12" s="1190" t="s">
        <v>1310</v>
      </c>
      <c r="M12" s="286">
        <v>4</v>
      </c>
      <c r="N12" s="286">
        <f t="shared" si="7"/>
        <v>10800</v>
      </c>
      <c r="O12" s="286">
        <f t="shared" si="8"/>
        <v>35100</v>
      </c>
      <c r="P12" s="286">
        <f t="shared" si="1"/>
        <v>59400</v>
      </c>
      <c r="Q12" s="286">
        <f t="shared" si="1"/>
        <v>83700</v>
      </c>
      <c r="R12" s="286">
        <f t="shared" si="1"/>
        <v>108000</v>
      </c>
      <c r="S12" s="1196" t="s">
        <v>5</v>
      </c>
      <c r="T12" s="286">
        <f>IF('Design Data'!Q80="","",45)</f>
      </c>
      <c r="W12" s="1190" t="s">
        <v>2120</v>
      </c>
      <c r="X12" s="286">
        <v>61075</v>
      </c>
      <c r="Z12" s="286">
        <v>12</v>
      </c>
      <c r="AA12" s="286">
        <f t="shared" si="2"/>
        <v>132300</v>
      </c>
      <c r="AB12" s="286">
        <f t="shared" si="2"/>
        <v>156600</v>
      </c>
      <c r="AC12" s="286">
        <f t="shared" si="3"/>
        <v>180900</v>
      </c>
      <c r="AD12" s="286">
        <f t="shared" si="4"/>
        <v>205200</v>
      </c>
      <c r="AE12" s="286">
        <f t="shared" si="5"/>
        <v>229500</v>
      </c>
      <c r="AH12" s="1193" t="s">
        <v>2003</v>
      </c>
      <c r="AI12" s="1194" t="s">
        <v>2012</v>
      </c>
      <c r="AM12" s="1195" t="s">
        <v>2431</v>
      </c>
      <c r="AN12" s="1195" t="s">
        <v>2080</v>
      </c>
      <c r="AR12" t="s">
        <v>2017</v>
      </c>
      <c r="AS12" s="286" t="s">
        <v>770</v>
      </c>
      <c r="AV12" s="1190" t="s">
        <v>1996</v>
      </c>
      <c r="AY12" s="1190">
        <f t="shared" si="13"/>
        <v>0</v>
      </c>
      <c r="AZ12" s="1458">
        <f t="shared" si="9"/>
        <v>0</v>
      </c>
      <c r="BA12" s="1190">
        <f>IF($BK$6&lt;=25,1,0)</f>
        <v>0</v>
      </c>
      <c r="BB12" s="1190">
        <f t="shared" si="11"/>
        <v>0</v>
      </c>
      <c r="BC12" s="1190">
        <f t="shared" si="12"/>
        <v>0</v>
      </c>
      <c r="BD12" s="286" t="s">
        <v>2542</v>
      </c>
      <c r="BE12" s="286" t="s">
        <v>2116</v>
      </c>
      <c r="BF12" s="286" t="s">
        <v>2528</v>
      </c>
      <c r="BG12" s="286" t="s">
        <v>2543</v>
      </c>
      <c r="BH12" s="286" t="s">
        <v>2536</v>
      </c>
    </row>
    <row r="13" spans="1:60" ht="12.75">
      <c r="A13" s="1187" t="s">
        <v>960</v>
      </c>
      <c r="B13" s="1192">
        <f>'Design Data'!T27</f>
        <v>0</v>
      </c>
      <c r="C13" s="286">
        <v>0.15</v>
      </c>
      <c r="D13" s="286">
        <f t="shared" si="0"/>
        <v>0.42583471830473674</v>
      </c>
      <c r="H13" s="286">
        <f>D7</f>
        <v>2.754074108566122</v>
      </c>
      <c r="N13" s="286">
        <f t="shared" si="7"/>
        <v>11700</v>
      </c>
      <c r="O13" s="286">
        <f t="shared" si="8"/>
        <v>36000</v>
      </c>
      <c r="P13" s="286">
        <f t="shared" si="1"/>
        <v>60300</v>
      </c>
      <c r="Q13" s="286">
        <f t="shared" si="1"/>
        <v>84600</v>
      </c>
      <c r="R13" s="286">
        <f t="shared" si="1"/>
        <v>108900</v>
      </c>
      <c r="S13" s="1196" t="s">
        <v>6</v>
      </c>
      <c r="T13" s="286">
        <f>IF('1-Pt. Check'!C30="","",60)</f>
      </c>
      <c r="AA13" s="286">
        <f t="shared" si="2"/>
        <v>133200</v>
      </c>
      <c r="AB13" s="286">
        <f t="shared" si="2"/>
        <v>157500</v>
      </c>
      <c r="AC13" s="286">
        <f t="shared" si="3"/>
        <v>181800</v>
      </c>
      <c r="AD13" s="286">
        <f t="shared" si="4"/>
        <v>206100</v>
      </c>
      <c r="AE13" s="286">
        <f t="shared" si="5"/>
        <v>230400</v>
      </c>
      <c r="AH13" s="1193" t="s">
        <v>2052</v>
      </c>
      <c r="AI13" s="1194" t="s">
        <v>1961</v>
      </c>
      <c r="AM13" s="1195" t="s">
        <v>2430</v>
      </c>
      <c r="AN13" s="1195" t="s">
        <v>793</v>
      </c>
      <c r="AR13" t="s">
        <v>836</v>
      </c>
      <c r="AS13" s="286" t="s">
        <v>771</v>
      </c>
      <c r="AV13" s="1190" t="s">
        <v>1997</v>
      </c>
      <c r="AY13" s="1190">
        <f t="shared" si="13"/>
        <v>0</v>
      </c>
      <c r="AZ13" s="1458">
        <f t="shared" si="9"/>
        <v>0</v>
      </c>
      <c r="BA13" s="1190">
        <f>IF($BK$6&lt;=16,1,0)</f>
        <v>0</v>
      </c>
      <c r="BB13" s="1190">
        <f t="shared" si="11"/>
        <v>0</v>
      </c>
      <c r="BC13" s="1190">
        <f t="shared" si="12"/>
        <v>0</v>
      </c>
      <c r="BD13" s="286" t="s">
        <v>2542</v>
      </c>
      <c r="BE13" s="286" t="s">
        <v>2109</v>
      </c>
      <c r="BF13" s="286" t="s">
        <v>2529</v>
      </c>
      <c r="BG13" s="286" t="s">
        <v>2546</v>
      </c>
      <c r="BH13" s="286" t="s">
        <v>2534</v>
      </c>
    </row>
    <row r="14" spans="1:64" ht="12.75">
      <c r="A14" s="1187" t="s">
        <v>962</v>
      </c>
      <c r="B14" s="1192">
        <f>'Design Data'!T28</f>
        <v>0</v>
      </c>
      <c r="C14" s="286">
        <v>0.075</v>
      </c>
      <c r="D14" s="286">
        <f t="shared" si="0"/>
        <v>0.3117292599535</v>
      </c>
      <c r="E14" s="741">
        <v>0</v>
      </c>
      <c r="F14" s="286">
        <f>E14^0.45</f>
        <v>0</v>
      </c>
      <c r="G14" s="286">
        <v>0</v>
      </c>
      <c r="H14" s="286">
        <f>D8</f>
        <v>2.016100253962929</v>
      </c>
      <c r="N14" s="286">
        <f t="shared" si="7"/>
        <v>12600</v>
      </c>
      <c r="O14" s="286">
        <f t="shared" si="8"/>
        <v>36900</v>
      </c>
      <c r="P14" s="286">
        <f t="shared" si="1"/>
        <v>61200</v>
      </c>
      <c r="Q14" s="286">
        <f t="shared" si="1"/>
        <v>85500</v>
      </c>
      <c r="R14" s="286">
        <f t="shared" si="1"/>
        <v>109800</v>
      </c>
      <c r="S14" s="1196" t="s">
        <v>2224</v>
      </c>
      <c r="T14" s="286">
        <f>IF(L48="X",200,"")</f>
      </c>
      <c r="W14" s="286" t="s">
        <v>1104</v>
      </c>
      <c r="AA14" s="286">
        <f t="shared" si="2"/>
        <v>134100</v>
      </c>
      <c r="AB14" s="286">
        <f t="shared" si="2"/>
        <v>158400</v>
      </c>
      <c r="AC14" s="286">
        <f t="shared" si="3"/>
        <v>182700</v>
      </c>
      <c r="AD14" s="286">
        <f t="shared" si="4"/>
        <v>207000</v>
      </c>
      <c r="AE14" s="286">
        <f t="shared" si="5"/>
        <v>231300</v>
      </c>
      <c r="AH14" s="1193" t="s">
        <v>2053</v>
      </c>
      <c r="AI14" s="1194" t="s">
        <v>1962</v>
      </c>
      <c r="AM14" s="1195" t="s">
        <v>1133</v>
      </c>
      <c r="AN14" s="1195" t="s">
        <v>2083</v>
      </c>
      <c r="AR14" t="s">
        <v>837</v>
      </c>
      <c r="AS14" s="286" t="s">
        <v>772</v>
      </c>
      <c r="AV14" s="1190" t="s">
        <v>1998</v>
      </c>
      <c r="AY14" s="1190">
        <f t="shared" si="13"/>
        <v>0</v>
      </c>
      <c r="AZ14" s="1458">
        <f t="shared" si="9"/>
        <v>0</v>
      </c>
      <c r="BA14" s="1190">
        <f>IF(AND($BK$6&gt;=17,$BK$6&lt;=24),1,0)</f>
        <v>0</v>
      </c>
      <c r="BB14" s="1190">
        <f t="shared" si="11"/>
        <v>0</v>
      </c>
      <c r="BC14" s="1190">
        <f t="shared" si="12"/>
        <v>0</v>
      </c>
      <c r="BD14" s="286" t="s">
        <v>2542</v>
      </c>
      <c r="BE14" s="286" t="s">
        <v>2109</v>
      </c>
      <c r="BF14" s="286" t="s">
        <v>2529</v>
      </c>
      <c r="BG14" s="286" t="s">
        <v>2547</v>
      </c>
      <c r="BH14" s="286" t="s">
        <v>2545</v>
      </c>
      <c r="BI14" s="286" t="s">
        <v>2562</v>
      </c>
      <c r="BK14" s="286" t="s">
        <v>2564</v>
      </c>
      <c r="BL14" s="286">
        <f>_xlfn.IFERROR(('Design Data'!L34-'Design Data'!L37)/('Design Data'!B34-'Design Data'!B37),"")</f>
      </c>
    </row>
    <row r="15" spans="2:64" ht="12.75">
      <c r="B15" s="286">
        <v>0</v>
      </c>
      <c r="C15" s="286">
        <v>0</v>
      </c>
      <c r="D15" s="286">
        <f t="shared" si="0"/>
        <v>0</v>
      </c>
      <c r="E15" s="741">
        <f>IF(W14="","",VLOOKUP(I48,A35:B40,2,FALSE))</f>
      </c>
      <c r="F15" s="286">
        <f>IF(W14="","",E15^0.45)</f>
      </c>
      <c r="G15" s="286">
        <v>100</v>
      </c>
      <c r="H15" s="286">
        <f>D8</f>
        <v>2.016100253962929</v>
      </c>
      <c r="I15" s="760"/>
      <c r="J15" s="760"/>
      <c r="K15" s="760"/>
      <c r="N15" s="286">
        <f t="shared" si="7"/>
        <v>13500</v>
      </c>
      <c r="O15" s="286">
        <f t="shared" si="8"/>
        <v>37800</v>
      </c>
      <c r="P15" s="286">
        <f t="shared" si="1"/>
        <v>62100</v>
      </c>
      <c r="Q15" s="286">
        <f t="shared" si="1"/>
        <v>86400</v>
      </c>
      <c r="R15" s="286">
        <f t="shared" si="1"/>
        <v>110700</v>
      </c>
      <c r="S15" s="1196" t="s">
        <v>7</v>
      </c>
      <c r="T15" s="741">
        <f>SUM(T9:T14)</f>
        <v>0</v>
      </c>
      <c r="W15" s="286">
        <f>IF(W14="","",IF(W14="Bid Item Not In Drop-Down List",W24,VLOOKUP(W14,A50:F260,6,FALSE)))</f>
      </c>
      <c r="AA15" s="286">
        <f t="shared" si="2"/>
        <v>135000</v>
      </c>
      <c r="AB15" s="286">
        <f t="shared" si="2"/>
        <v>159300</v>
      </c>
      <c r="AC15" s="286">
        <f t="shared" si="3"/>
        <v>183600</v>
      </c>
      <c r="AD15" s="286">
        <f t="shared" si="4"/>
        <v>207900</v>
      </c>
      <c r="AE15" s="286">
        <f t="shared" si="5"/>
        <v>232200</v>
      </c>
      <c r="AH15" s="1193" t="s">
        <v>645</v>
      </c>
      <c r="AI15" s="1194" t="s">
        <v>2020</v>
      </c>
      <c r="AM15" s="1195" t="s">
        <v>1134</v>
      </c>
      <c r="AN15" s="1195" t="s">
        <v>2100</v>
      </c>
      <c r="AR15" t="s">
        <v>2018</v>
      </c>
      <c r="AS15" s="286" t="s">
        <v>773</v>
      </c>
      <c r="AY15" s="1190">
        <f t="shared" si="13"/>
        <v>0</v>
      </c>
      <c r="AZ15" s="1458">
        <f t="shared" si="9"/>
        <v>0</v>
      </c>
      <c r="BA15" s="1190">
        <f>IF($BK$6&lt;=18,1,0)</f>
        <v>0</v>
      </c>
      <c r="BB15" s="1190">
        <f t="shared" si="11"/>
        <v>0</v>
      </c>
      <c r="BC15" s="1190">
        <f t="shared" si="12"/>
        <v>0</v>
      </c>
      <c r="BD15" s="286" t="s">
        <v>2542</v>
      </c>
      <c r="BE15" s="286" t="s">
        <v>2109</v>
      </c>
      <c r="BF15" s="286" t="s">
        <v>2530</v>
      </c>
      <c r="BG15" s="286" t="s">
        <v>2548</v>
      </c>
      <c r="BH15" s="286" t="s">
        <v>2534</v>
      </c>
      <c r="BK15" s="286" t="s">
        <v>2563</v>
      </c>
      <c r="BL15" s="286">
        <f>_xlfn.IFERROR(('Design Data'!L34-'Chart Data'!BL14*'Design Data'!B34),"")</f>
      </c>
    </row>
    <row r="16" spans="8:64" ht="12.75">
      <c r="H16" s="286">
        <f>D9</f>
        <v>1.4716698795820382</v>
      </c>
      <c r="I16" s="760"/>
      <c r="J16" s="760"/>
      <c r="K16" s="760"/>
      <c r="N16" s="286">
        <f t="shared" si="7"/>
        <v>14400</v>
      </c>
      <c r="O16" s="286">
        <f t="shared" si="8"/>
        <v>38700</v>
      </c>
      <c r="P16" s="286">
        <f t="shared" si="1"/>
        <v>63000</v>
      </c>
      <c r="Q16" s="286">
        <f t="shared" si="1"/>
        <v>87300</v>
      </c>
      <c r="R16" s="286">
        <f t="shared" si="1"/>
        <v>111600</v>
      </c>
      <c r="S16" s="1190"/>
      <c r="W16" s="286">
        <f>IF(AND(W14="",W20=""),"",IF(AND(W14="Bid Item Not In Drop-Down List",W20=""),"",IF(W14="Bid Item Not In Drop-Down List",VALUE(RIGHT(W20,1)),VLOOKUP(W14,A50:G260,7,FALSE))))</f>
      </c>
      <c r="AA16" s="286">
        <f t="shared" si="2"/>
        <v>135900</v>
      </c>
      <c r="AB16" s="286">
        <f t="shared" si="2"/>
        <v>160200</v>
      </c>
      <c r="AC16" s="286">
        <f t="shared" si="3"/>
        <v>184500</v>
      </c>
      <c r="AD16" s="286">
        <f t="shared" si="4"/>
        <v>208800</v>
      </c>
      <c r="AE16" s="286">
        <f t="shared" si="5"/>
        <v>233100</v>
      </c>
      <c r="AH16" s="1193" t="s">
        <v>2054</v>
      </c>
      <c r="AI16" s="1194" t="s">
        <v>2031</v>
      </c>
      <c r="AM16" s="1195" t="s">
        <v>1135</v>
      </c>
      <c r="AN16" s="1195" t="s">
        <v>2101</v>
      </c>
      <c r="AR16" t="s">
        <v>838</v>
      </c>
      <c r="AS16" s="286" t="s">
        <v>774</v>
      </c>
      <c r="AY16" s="1190">
        <f t="shared" si="13"/>
        <v>0</v>
      </c>
      <c r="AZ16" s="1458">
        <f t="shared" si="9"/>
        <v>0</v>
      </c>
      <c r="BA16" s="1190">
        <f>IF(AND($BK$6&gt;=19,$BK$6&lt;=30),1,0)</f>
        <v>0</v>
      </c>
      <c r="BB16" s="1190">
        <f t="shared" si="11"/>
        <v>0</v>
      </c>
      <c r="BC16" s="1190">
        <f t="shared" si="12"/>
        <v>0</v>
      </c>
      <c r="BD16" s="286" t="s">
        <v>2542</v>
      </c>
      <c r="BE16" s="286" t="s">
        <v>2109</v>
      </c>
      <c r="BF16" s="286" t="s">
        <v>2530</v>
      </c>
      <c r="BG16" s="286" t="s">
        <v>2549</v>
      </c>
      <c r="BH16" s="286" t="s">
        <v>2545</v>
      </c>
      <c r="BK16" s="286" t="s">
        <v>202</v>
      </c>
      <c r="BL16" s="286">
        <f>_xlfn.IFERROR(Graphs!K131,"")</f>
        <v>0</v>
      </c>
    </row>
    <row r="17" spans="1:64" ht="12.75">
      <c r="A17" s="760"/>
      <c r="B17" s="760"/>
      <c r="C17" s="760"/>
      <c r="D17" s="760"/>
      <c r="E17" s="760"/>
      <c r="F17" s="760"/>
      <c r="G17" s="760"/>
      <c r="H17" s="286">
        <f>D9</f>
        <v>1.4716698795820382</v>
      </c>
      <c r="J17" s="1190" t="s">
        <v>2230</v>
      </c>
      <c r="L17" s="286" t="b">
        <v>0</v>
      </c>
      <c r="N17" s="286">
        <f t="shared" si="7"/>
        <v>15300</v>
      </c>
      <c r="O17" s="286">
        <f t="shared" si="8"/>
        <v>39600</v>
      </c>
      <c r="P17" s="286">
        <f t="shared" si="1"/>
        <v>63900</v>
      </c>
      <c r="Q17" s="286">
        <f t="shared" si="1"/>
        <v>88200</v>
      </c>
      <c r="R17" s="286">
        <f t="shared" si="1"/>
        <v>112500</v>
      </c>
      <c r="S17" s="760"/>
      <c r="W17" s="286">
        <f>IF(W14="","",VLOOKUP(W14,A51:H260,8,FALSE))</f>
      </c>
      <c r="X17" s="286">
        <f>IF(W22="0.38","15.0",IF(W22="0.50","14.0",IF(W22="0.75","13.0",IF(W22="1.00","12.0",IF(W22="1.50","11.0","")))))</f>
      </c>
      <c r="AA17" s="286">
        <f t="shared" si="2"/>
        <v>136800</v>
      </c>
      <c r="AB17" s="286">
        <f t="shared" si="2"/>
        <v>161100</v>
      </c>
      <c r="AC17" s="286">
        <f t="shared" si="3"/>
        <v>185400</v>
      </c>
      <c r="AD17" s="286">
        <f t="shared" si="4"/>
        <v>209700</v>
      </c>
      <c r="AE17" s="286">
        <f t="shared" si="5"/>
        <v>234000</v>
      </c>
      <c r="AH17" s="1193" t="s">
        <v>2055</v>
      </c>
      <c r="AI17" s="1194" t="s">
        <v>2032</v>
      </c>
      <c r="AM17" s="1195" t="s">
        <v>1138</v>
      </c>
      <c r="AN17" s="1195" t="s">
        <v>818</v>
      </c>
      <c r="AR17" t="s">
        <v>839</v>
      </c>
      <c r="AS17" s="286" t="s">
        <v>775</v>
      </c>
      <c r="BK17" s="286" t="s">
        <v>2565</v>
      </c>
      <c r="BL17" s="286">
        <f>_xlfn.IFERROR(ROUND(BL14*BL16+BL15,1),"")</f>
      </c>
    </row>
    <row r="18" spans="1:45" ht="12.75">
      <c r="A18" s="1198" t="s">
        <v>923</v>
      </c>
      <c r="B18" s="1198" t="s">
        <v>2216</v>
      </c>
      <c r="C18" s="174" t="s">
        <v>1304</v>
      </c>
      <c r="D18" s="174" t="s">
        <v>1305</v>
      </c>
      <c r="E18" s="1198" t="s">
        <v>2215</v>
      </c>
      <c r="F18" s="1198" t="s">
        <v>2214</v>
      </c>
      <c r="H18" s="286">
        <f>D10</f>
        <v>1.0773254099250416</v>
      </c>
      <c r="I18" s="1234" t="s">
        <v>2228</v>
      </c>
      <c r="J18" s="1190" t="s">
        <v>2231</v>
      </c>
      <c r="L18" s="286" t="b">
        <v>0</v>
      </c>
      <c r="N18" s="286">
        <f t="shared" si="7"/>
        <v>16200</v>
      </c>
      <c r="O18" s="286">
        <f t="shared" si="8"/>
        <v>40500</v>
      </c>
      <c r="P18" s="286">
        <f aca="true" t="shared" si="14" ref="P18:P27">IF($K$48="E",P17+1000,P17+900)</f>
        <v>64800</v>
      </c>
      <c r="Q18" s="286">
        <f aca="true" t="shared" si="15" ref="Q18:Q27">IF($K$48="E",Q17+1000,Q17+900)</f>
        <v>89100</v>
      </c>
      <c r="R18" s="286">
        <f aca="true" t="shared" si="16" ref="R18:R27">IF($K$48="E",R17+1000,R17+900)</f>
        <v>113400</v>
      </c>
      <c r="S18" s="760"/>
      <c r="AA18" s="286">
        <f t="shared" si="2"/>
        <v>137700</v>
      </c>
      <c r="AB18" s="286">
        <f t="shared" si="2"/>
        <v>162000</v>
      </c>
      <c r="AC18" s="286">
        <f t="shared" si="3"/>
        <v>186300</v>
      </c>
      <c r="AD18" s="286">
        <f t="shared" si="4"/>
        <v>210600</v>
      </c>
      <c r="AE18" s="286">
        <f t="shared" si="5"/>
        <v>234900</v>
      </c>
      <c r="AH18" s="1193" t="s">
        <v>2056</v>
      </c>
      <c r="AI18" s="1194" t="s">
        <v>2033</v>
      </c>
      <c r="AM18" s="1195" t="s">
        <v>1139</v>
      </c>
      <c r="AN18" s="1195" t="s">
        <v>1318</v>
      </c>
      <c r="AR18" t="s">
        <v>2019</v>
      </c>
      <c r="AS18" s="286" t="s">
        <v>776</v>
      </c>
    </row>
    <row r="19" spans="1:45" ht="12.75">
      <c r="A19" s="1198">
        <v>1.5</v>
      </c>
      <c r="B19" s="168">
        <f>'Design Data'!T16</f>
        <v>0</v>
      </c>
      <c r="C19" s="174">
        <v>37.5</v>
      </c>
      <c r="D19" s="174">
        <f aca="true" t="shared" si="17" ref="D19:D25">C19^0.45</f>
        <v>5.1087431744234335</v>
      </c>
      <c r="E19" s="805">
        <v>100</v>
      </c>
      <c r="F19" s="174">
        <v>100</v>
      </c>
      <c r="H19" s="286">
        <f>D10</f>
        <v>1.0773254099250416</v>
      </c>
      <c r="J19" s="1190" t="s">
        <v>2232</v>
      </c>
      <c r="L19" s="286" t="b">
        <v>0</v>
      </c>
      <c r="N19" s="286">
        <f t="shared" si="7"/>
        <v>17100</v>
      </c>
      <c r="O19" s="286">
        <f t="shared" si="8"/>
        <v>41400</v>
      </c>
      <c r="P19" s="286">
        <f t="shared" si="14"/>
        <v>65700</v>
      </c>
      <c r="Q19" s="286">
        <f t="shared" si="15"/>
        <v>90000</v>
      </c>
      <c r="R19" s="286">
        <f t="shared" si="16"/>
        <v>114300</v>
      </c>
      <c r="S19" s="1199"/>
      <c r="T19" s="805"/>
      <c r="W19" s="286" t="s">
        <v>1104</v>
      </c>
      <c r="AA19" s="286">
        <f t="shared" si="2"/>
        <v>138600</v>
      </c>
      <c r="AB19" s="286">
        <f t="shared" si="2"/>
        <v>162900</v>
      </c>
      <c r="AC19" s="286">
        <f t="shared" si="3"/>
        <v>187200</v>
      </c>
      <c r="AD19" s="286">
        <f t="shared" si="4"/>
        <v>211500</v>
      </c>
      <c r="AE19" s="286">
        <f t="shared" si="5"/>
        <v>235800</v>
      </c>
      <c r="AH19" s="1193" t="s">
        <v>2057</v>
      </c>
      <c r="AI19" s="1194" t="s">
        <v>2034</v>
      </c>
      <c r="AM19" s="1195" t="s">
        <v>1141</v>
      </c>
      <c r="AN19" s="1195" t="s">
        <v>803</v>
      </c>
      <c r="AR19" t="s">
        <v>840</v>
      </c>
      <c r="AS19" s="286" t="s">
        <v>783</v>
      </c>
    </row>
    <row r="20" spans="1:45" ht="12.75">
      <c r="A20" s="174">
        <v>0.75</v>
      </c>
      <c r="B20" s="168">
        <f>'Design Data'!T18</f>
        <v>0</v>
      </c>
      <c r="C20" s="805">
        <v>19</v>
      </c>
      <c r="D20" s="174">
        <f t="shared" si="17"/>
        <v>3.762176102386298</v>
      </c>
      <c r="E20" s="805">
        <v>85</v>
      </c>
      <c r="F20" s="805">
        <v>100</v>
      </c>
      <c r="H20" s="286">
        <f>D11</f>
        <v>0.7946356822402045</v>
      </c>
      <c r="J20" s="1190" t="s">
        <v>2233</v>
      </c>
      <c r="L20" s="286" t="b">
        <v>0</v>
      </c>
      <c r="N20" s="286">
        <f t="shared" si="7"/>
        <v>18000</v>
      </c>
      <c r="O20" s="286">
        <f t="shared" si="8"/>
        <v>42300</v>
      </c>
      <c r="P20" s="286">
        <f t="shared" si="14"/>
        <v>66600</v>
      </c>
      <c r="Q20" s="286">
        <f t="shared" si="15"/>
        <v>90900</v>
      </c>
      <c r="R20" s="286">
        <f t="shared" si="16"/>
        <v>115200</v>
      </c>
      <c r="W20" s="286" t="s">
        <v>1104</v>
      </c>
      <c r="AA20" s="286">
        <f t="shared" si="2"/>
        <v>139500</v>
      </c>
      <c r="AB20" s="286">
        <f t="shared" si="2"/>
        <v>163800</v>
      </c>
      <c r="AC20" s="286">
        <f t="shared" si="3"/>
        <v>188100</v>
      </c>
      <c r="AD20" s="286">
        <f t="shared" si="4"/>
        <v>212400</v>
      </c>
      <c r="AE20" s="286">
        <f t="shared" si="5"/>
        <v>236700</v>
      </c>
      <c r="AH20" s="1193" t="s">
        <v>2058</v>
      </c>
      <c r="AI20" s="1194" t="s">
        <v>2035</v>
      </c>
      <c r="AM20" s="1195" t="s">
        <v>1142</v>
      </c>
      <c r="AN20" s="1195" t="s">
        <v>819</v>
      </c>
      <c r="AR20" t="s">
        <v>841</v>
      </c>
      <c r="AS20" s="286" t="s">
        <v>784</v>
      </c>
    </row>
    <row r="21" spans="1:45" ht="12.75">
      <c r="A21" s="805">
        <v>0.5</v>
      </c>
      <c r="B21" s="168">
        <f>'Design Data'!T19</f>
        <v>0</v>
      </c>
      <c r="C21" s="805">
        <v>12.5</v>
      </c>
      <c r="D21" s="174">
        <f t="shared" si="17"/>
        <v>3.116086507375345</v>
      </c>
      <c r="E21" s="805">
        <v>35</v>
      </c>
      <c r="F21" s="805">
        <v>65</v>
      </c>
      <c r="H21" s="286">
        <f>D11</f>
        <v>0.7946356822402045</v>
      </c>
      <c r="L21" s="174" t="str">
        <f>IF(OR(L17,L18,L19,L20),"TRUE","FALSE")</f>
        <v>FALSE</v>
      </c>
      <c r="N21" s="286">
        <f t="shared" si="7"/>
        <v>18900</v>
      </c>
      <c r="O21" s="286">
        <f t="shared" si="8"/>
        <v>43200</v>
      </c>
      <c r="P21" s="286">
        <f t="shared" si="14"/>
        <v>67500</v>
      </c>
      <c r="Q21" s="286">
        <f t="shared" si="15"/>
        <v>91800</v>
      </c>
      <c r="R21" s="286">
        <f t="shared" si="16"/>
        <v>116100</v>
      </c>
      <c r="W21" s="286" t="s">
        <v>1104</v>
      </c>
      <c r="X21" s="286" t="str">
        <f>IF(W22="1.50","20625",IF(W22="1.00","20600",IF(W22="0.75","20575",IF(W22="0.38","20500",IF(AND(W22="0.50",W21="ASPH SURF"),"20525","20550")))))</f>
        <v>20550</v>
      </c>
      <c r="AA21" s="286">
        <f t="shared" si="2"/>
        <v>140400</v>
      </c>
      <c r="AB21" s="286">
        <f t="shared" si="2"/>
        <v>164700</v>
      </c>
      <c r="AC21" s="286">
        <f t="shared" si="3"/>
        <v>189000</v>
      </c>
      <c r="AD21" s="286">
        <f t="shared" si="4"/>
        <v>213300</v>
      </c>
      <c r="AE21" s="286">
        <f t="shared" si="5"/>
        <v>237600</v>
      </c>
      <c r="AH21" s="1193" t="s">
        <v>2059</v>
      </c>
      <c r="AI21" s="1197" t="s">
        <v>2046</v>
      </c>
      <c r="AM21" s="1195" t="s">
        <v>2435</v>
      </c>
      <c r="AN21" s="1195" t="s">
        <v>2448</v>
      </c>
      <c r="AR21" t="s">
        <v>842</v>
      </c>
      <c r="AS21" s="286" t="s">
        <v>752</v>
      </c>
    </row>
    <row r="22" spans="1:45" ht="12.75">
      <c r="A22" s="805">
        <v>4</v>
      </c>
      <c r="B22" s="168">
        <f>'Design Data'!T22</f>
        <v>0</v>
      </c>
      <c r="C22" s="805">
        <v>4.75</v>
      </c>
      <c r="D22" s="174">
        <f t="shared" si="17"/>
        <v>2.016100253962929</v>
      </c>
      <c r="E22" s="805">
        <v>0</v>
      </c>
      <c r="F22" s="805">
        <v>20</v>
      </c>
      <c r="H22" s="286">
        <f>D12</f>
        <v>0.5817073679279383</v>
      </c>
      <c r="N22" s="286">
        <f t="shared" si="7"/>
        <v>19800</v>
      </c>
      <c r="O22" s="286">
        <f t="shared" si="8"/>
        <v>44100</v>
      </c>
      <c r="P22" s="286">
        <f t="shared" si="14"/>
        <v>68400</v>
      </c>
      <c r="Q22" s="286">
        <f t="shared" si="15"/>
        <v>92700</v>
      </c>
      <c r="R22" s="286">
        <f t="shared" si="16"/>
        <v>117000</v>
      </c>
      <c r="W22" s="286" t="s">
        <v>1104</v>
      </c>
      <c r="AA22" s="286">
        <f t="shared" si="2"/>
        <v>141300</v>
      </c>
      <c r="AB22" s="286">
        <f t="shared" si="2"/>
        <v>165600</v>
      </c>
      <c r="AC22" s="286">
        <f t="shared" si="3"/>
        <v>189900</v>
      </c>
      <c r="AD22" s="286">
        <f t="shared" si="4"/>
        <v>214200</v>
      </c>
      <c r="AE22" s="286">
        <f t="shared" si="5"/>
        <v>238500</v>
      </c>
      <c r="AH22" s="1193" t="s">
        <v>521</v>
      </c>
      <c r="AI22" s="1197" t="s">
        <v>522</v>
      </c>
      <c r="AM22" s="1195" t="s">
        <v>1143</v>
      </c>
      <c r="AN22" s="1195" t="s">
        <v>805</v>
      </c>
      <c r="AR22" t="s">
        <v>843</v>
      </c>
      <c r="AS22" s="286" t="s">
        <v>1964</v>
      </c>
    </row>
    <row r="23" spans="1:45" ht="12.75">
      <c r="A23" s="174">
        <v>8</v>
      </c>
      <c r="B23" s="168">
        <f>'Design Data'!T23</f>
        <v>0</v>
      </c>
      <c r="C23" s="174">
        <v>2.36</v>
      </c>
      <c r="D23" s="174">
        <f t="shared" si="17"/>
        <v>1.4716698795820382</v>
      </c>
      <c r="E23" s="174">
        <v>0</v>
      </c>
      <c r="F23" s="174">
        <v>10</v>
      </c>
      <c r="H23" s="286">
        <f>D12</f>
        <v>0.5817073679279383</v>
      </c>
      <c r="N23" s="286">
        <f t="shared" si="7"/>
        <v>20700</v>
      </c>
      <c r="O23" s="286">
        <f t="shared" si="8"/>
        <v>45000</v>
      </c>
      <c r="P23" s="286">
        <f t="shared" si="14"/>
        <v>69300</v>
      </c>
      <c r="Q23" s="286">
        <f t="shared" si="15"/>
        <v>93600</v>
      </c>
      <c r="R23" s="286">
        <f t="shared" si="16"/>
        <v>117900</v>
      </c>
      <c r="W23" s="286" t="s">
        <v>1104</v>
      </c>
      <c r="AA23" s="286">
        <f t="shared" si="2"/>
        <v>142200</v>
      </c>
      <c r="AB23" s="286">
        <f t="shared" si="2"/>
        <v>166500</v>
      </c>
      <c r="AC23" s="286">
        <f t="shared" si="3"/>
        <v>190800</v>
      </c>
      <c r="AD23" s="286">
        <f t="shared" si="4"/>
        <v>215100</v>
      </c>
      <c r="AE23" s="286">
        <f t="shared" si="5"/>
        <v>239400</v>
      </c>
      <c r="AH23" s="1193" t="s">
        <v>2060</v>
      </c>
      <c r="AI23" s="1197" t="s">
        <v>1953</v>
      </c>
      <c r="AM23" s="1195" t="s">
        <v>2394</v>
      </c>
      <c r="AN23" s="1195" t="s">
        <v>2395</v>
      </c>
      <c r="AR23" t="s">
        <v>844</v>
      </c>
      <c r="AS23" s="286" t="s">
        <v>1965</v>
      </c>
    </row>
    <row r="24" spans="1:45" ht="12.75">
      <c r="A24" s="174">
        <v>200</v>
      </c>
      <c r="B24" s="174">
        <f>'Design Data'!T28</f>
        <v>0</v>
      </c>
      <c r="C24" s="174">
        <v>0.075</v>
      </c>
      <c r="D24" s="174">
        <f t="shared" si="17"/>
        <v>0.3117292599535</v>
      </c>
      <c r="E24" s="174">
        <v>0</v>
      </c>
      <c r="F24" s="174">
        <v>4</v>
      </c>
      <c r="H24" s="286">
        <f>D13</f>
        <v>0.42583471830473674</v>
      </c>
      <c r="N24" s="286">
        <f t="shared" si="7"/>
        <v>21600</v>
      </c>
      <c r="O24" s="286">
        <f t="shared" si="8"/>
        <v>45900</v>
      </c>
      <c r="P24" s="286">
        <f t="shared" si="14"/>
        <v>70200</v>
      </c>
      <c r="Q24" s="286">
        <f t="shared" si="15"/>
        <v>94500</v>
      </c>
      <c r="R24" s="286">
        <f t="shared" si="16"/>
        <v>118800</v>
      </c>
      <c r="W24" s="286" t="s">
        <v>1104</v>
      </c>
      <c r="AA24" s="286">
        <f t="shared" si="2"/>
        <v>143100</v>
      </c>
      <c r="AB24" s="286">
        <f t="shared" si="2"/>
        <v>167400</v>
      </c>
      <c r="AC24" s="286">
        <f t="shared" si="3"/>
        <v>191700</v>
      </c>
      <c r="AD24" s="286">
        <f t="shared" si="4"/>
        <v>216000</v>
      </c>
      <c r="AE24" s="286">
        <f t="shared" si="5"/>
        <v>240300</v>
      </c>
      <c r="AH24" s="1193" t="s">
        <v>523</v>
      </c>
      <c r="AI24" s="1197" t="s">
        <v>524</v>
      </c>
      <c r="AM24" s="1195" t="s">
        <v>1144</v>
      </c>
      <c r="AN24" s="1195" t="s">
        <v>2076</v>
      </c>
      <c r="AR24" t="s">
        <v>849</v>
      </c>
      <c r="AS24" s="286" t="s">
        <v>758</v>
      </c>
    </row>
    <row r="25" spans="1:45" ht="12.75">
      <c r="A25" s="174"/>
      <c r="B25" s="174">
        <v>0</v>
      </c>
      <c r="C25" s="174">
        <v>0</v>
      </c>
      <c r="D25" s="174">
        <f t="shared" si="17"/>
        <v>0</v>
      </c>
      <c r="E25" s="174">
        <v>0</v>
      </c>
      <c r="F25" s="174">
        <v>0</v>
      </c>
      <c r="H25" s="286">
        <f>D13</f>
        <v>0.42583471830473674</v>
      </c>
      <c r="N25" s="286">
        <f t="shared" si="7"/>
        <v>22500</v>
      </c>
      <c r="O25" s="286">
        <f t="shared" si="8"/>
        <v>46800</v>
      </c>
      <c r="P25" s="286">
        <f t="shared" si="14"/>
        <v>71100</v>
      </c>
      <c r="Q25" s="286">
        <f t="shared" si="15"/>
        <v>95400</v>
      </c>
      <c r="R25" s="286">
        <f t="shared" si="16"/>
        <v>119700</v>
      </c>
      <c r="AA25" s="286">
        <f t="shared" si="2"/>
        <v>144000</v>
      </c>
      <c r="AB25" s="286">
        <f t="shared" si="2"/>
        <v>168300</v>
      </c>
      <c r="AC25" s="286">
        <f t="shared" si="3"/>
        <v>192600</v>
      </c>
      <c r="AD25" s="286">
        <f t="shared" si="4"/>
        <v>216900</v>
      </c>
      <c r="AE25" s="286">
        <f t="shared" si="5"/>
        <v>241200</v>
      </c>
      <c r="AH25" s="1193" t="s">
        <v>2061</v>
      </c>
      <c r="AI25" s="1197" t="s">
        <v>1954</v>
      </c>
      <c r="AM25" s="1195" t="s">
        <v>1145</v>
      </c>
      <c r="AN25" s="1195" t="s">
        <v>644</v>
      </c>
      <c r="AR25" t="s">
        <v>850</v>
      </c>
      <c r="AS25" s="286" t="s">
        <v>757</v>
      </c>
    </row>
    <row r="26" spans="1:45" ht="12.75">
      <c r="A26" s="1198" t="s">
        <v>923</v>
      </c>
      <c r="B26" s="1198" t="s">
        <v>2219</v>
      </c>
      <c r="C26" s="174" t="s">
        <v>1304</v>
      </c>
      <c r="D26" s="174" t="s">
        <v>1305</v>
      </c>
      <c r="E26" s="1198" t="s">
        <v>2215</v>
      </c>
      <c r="F26" s="1198" t="s">
        <v>2214</v>
      </c>
      <c r="H26" s="286">
        <f>D14</f>
        <v>0.3117292599535</v>
      </c>
      <c r="N26" s="286">
        <f t="shared" si="7"/>
        <v>23400</v>
      </c>
      <c r="O26" s="286">
        <f t="shared" si="8"/>
        <v>47700</v>
      </c>
      <c r="P26" s="286">
        <f t="shared" si="14"/>
        <v>72000</v>
      </c>
      <c r="Q26" s="286">
        <f t="shared" si="15"/>
        <v>96300</v>
      </c>
      <c r="R26" s="286">
        <f t="shared" si="16"/>
        <v>120600</v>
      </c>
      <c r="AA26" s="286">
        <f t="shared" si="2"/>
        <v>144900</v>
      </c>
      <c r="AB26" s="286">
        <f t="shared" si="2"/>
        <v>169200</v>
      </c>
      <c r="AC26" s="286">
        <f t="shared" si="3"/>
        <v>193500</v>
      </c>
      <c r="AD26" s="286">
        <f t="shared" si="4"/>
        <v>217800</v>
      </c>
      <c r="AE26" s="286">
        <f t="shared" si="5"/>
        <v>242100</v>
      </c>
      <c r="AH26" s="1193" t="s">
        <v>2396</v>
      </c>
      <c r="AI26" s="1197" t="s">
        <v>2429</v>
      </c>
      <c r="AM26" s="1195" t="s">
        <v>1146</v>
      </c>
      <c r="AN26" s="1195" t="s">
        <v>801</v>
      </c>
      <c r="AR26" t="s">
        <v>867</v>
      </c>
      <c r="AS26" s="286" t="s">
        <v>1968</v>
      </c>
    </row>
    <row r="27" spans="1:45" ht="12.75">
      <c r="A27" s="1198">
        <v>0.5</v>
      </c>
      <c r="B27" s="168">
        <f>'Design Data'!T19</f>
        <v>0</v>
      </c>
      <c r="C27" s="174">
        <v>12.5</v>
      </c>
      <c r="D27" s="174">
        <f aca="true" t="shared" si="18" ref="D27:D32">C27^0.45</f>
        <v>3.116086507375345</v>
      </c>
      <c r="E27" s="174">
        <v>100</v>
      </c>
      <c r="F27" s="174">
        <v>100</v>
      </c>
      <c r="H27" s="286">
        <f>D14</f>
        <v>0.3117292599535</v>
      </c>
      <c r="N27" s="286">
        <f t="shared" si="7"/>
        <v>24300</v>
      </c>
      <c r="O27" s="286">
        <f t="shared" si="8"/>
        <v>48600</v>
      </c>
      <c r="P27" s="286">
        <f t="shared" si="14"/>
        <v>72900</v>
      </c>
      <c r="Q27" s="286">
        <f t="shared" si="15"/>
        <v>97200</v>
      </c>
      <c r="R27" s="286">
        <f t="shared" si="16"/>
        <v>121500</v>
      </c>
      <c r="AA27" s="286">
        <f t="shared" si="2"/>
        <v>145800</v>
      </c>
      <c r="AB27" s="286">
        <f t="shared" si="2"/>
        <v>170100</v>
      </c>
      <c r="AC27" s="286">
        <f t="shared" si="3"/>
        <v>194400</v>
      </c>
      <c r="AD27" s="286">
        <f t="shared" si="4"/>
        <v>218700</v>
      </c>
      <c r="AE27" s="286">
        <f t="shared" si="5"/>
        <v>243000</v>
      </c>
      <c r="AH27" s="1193" t="s">
        <v>2062</v>
      </c>
      <c r="AI27" s="1197" t="s">
        <v>1959</v>
      </c>
      <c r="AM27" s="1195" t="s">
        <v>778</v>
      </c>
      <c r="AN27" s="1195" t="s">
        <v>777</v>
      </c>
      <c r="AR27" t="s">
        <v>851</v>
      </c>
      <c r="AS27" s="286" t="s">
        <v>755</v>
      </c>
    </row>
    <row r="28" spans="1:45" ht="12.75">
      <c r="A28" s="1198">
        <v>0.38</v>
      </c>
      <c r="B28" s="168">
        <f>'Design Data'!T20</f>
        <v>0</v>
      </c>
      <c r="C28" s="174">
        <v>9.5</v>
      </c>
      <c r="D28" s="174">
        <f t="shared" si="18"/>
        <v>2.754074108566122</v>
      </c>
      <c r="E28" s="174">
        <v>90</v>
      </c>
      <c r="F28" s="174">
        <v>100</v>
      </c>
      <c r="H28" s="286">
        <f>D15</f>
        <v>0</v>
      </c>
      <c r="J28" s="1190" t="s">
        <v>2109</v>
      </c>
      <c r="K28" s="1200" t="s">
        <v>2234</v>
      </c>
      <c r="S28" s="760"/>
      <c r="T28" s="760"/>
      <c r="U28" s="760"/>
      <c r="V28" s="760"/>
      <c r="AH28" s="1193" t="s">
        <v>2063</v>
      </c>
      <c r="AI28" s="1197" t="s">
        <v>1960</v>
      </c>
      <c r="AM28" s="1195" t="s">
        <v>1127</v>
      </c>
      <c r="AN28" s="1195" t="s">
        <v>1319</v>
      </c>
      <c r="AR28" t="s">
        <v>852</v>
      </c>
      <c r="AS28" s="286" t="s">
        <v>754</v>
      </c>
    </row>
    <row r="29" spans="1:45" ht="12.75">
      <c r="A29" s="174">
        <v>4</v>
      </c>
      <c r="B29" s="168">
        <f>'Design Data'!T22</f>
        <v>0</v>
      </c>
      <c r="C29" s="805">
        <v>4.75</v>
      </c>
      <c r="D29" s="174">
        <f t="shared" si="18"/>
        <v>2.016100253962929</v>
      </c>
      <c r="E29" s="174">
        <v>25</v>
      </c>
      <c r="F29" s="174">
        <v>50</v>
      </c>
      <c r="H29" s="286">
        <f>D15</f>
        <v>0</v>
      </c>
      <c r="J29" s="1190" t="s">
        <v>2114</v>
      </c>
      <c r="K29" s="1200" t="s">
        <v>787</v>
      </c>
      <c r="N29" s="740" t="s">
        <v>1339</v>
      </c>
      <c r="O29" s="740" t="s">
        <v>1340</v>
      </c>
      <c r="P29" s="740" t="s">
        <v>1341</v>
      </c>
      <c r="Q29" s="740" t="s">
        <v>1342</v>
      </c>
      <c r="R29" s="740" t="s">
        <v>1343</v>
      </c>
      <c r="S29" s="286" t="s">
        <v>1344</v>
      </c>
      <c r="T29" s="286" t="s">
        <v>1345</v>
      </c>
      <c r="U29" s="286" t="s">
        <v>1346</v>
      </c>
      <c r="V29" s="1190" t="s">
        <v>2123</v>
      </c>
      <c r="AA29" s="1200" t="s">
        <v>1347</v>
      </c>
      <c r="AB29" s="1200" t="s">
        <v>1348</v>
      </c>
      <c r="AC29" s="1200" t="s">
        <v>1349</v>
      </c>
      <c r="AD29" s="1200" t="s">
        <v>1350</v>
      </c>
      <c r="AE29" s="1200" t="s">
        <v>1351</v>
      </c>
      <c r="AH29" s="1195" t="s">
        <v>2451</v>
      </c>
      <c r="AI29" s="1197" t="s">
        <v>2452</v>
      </c>
      <c r="AM29" s="1195" t="s">
        <v>1149</v>
      </c>
      <c r="AN29" s="1195" t="s">
        <v>2068</v>
      </c>
      <c r="AR29" t="s">
        <v>853</v>
      </c>
      <c r="AS29" s="286" t="s">
        <v>1966</v>
      </c>
    </row>
    <row r="30" spans="1:45" ht="12.75">
      <c r="A30" s="1198">
        <v>8</v>
      </c>
      <c r="B30" s="168">
        <f>'Design Data'!T23</f>
        <v>0</v>
      </c>
      <c r="C30" s="174">
        <v>2.36</v>
      </c>
      <c r="D30" s="174">
        <f t="shared" si="18"/>
        <v>1.4716698795820382</v>
      </c>
      <c r="E30" s="174">
        <v>5</v>
      </c>
      <c r="F30" s="174">
        <v>15</v>
      </c>
      <c r="J30" s="1190" t="s">
        <v>2116</v>
      </c>
      <c r="K30" s="1200" t="s">
        <v>786</v>
      </c>
      <c r="N30" s="740" t="s">
        <v>1352</v>
      </c>
      <c r="O30" s="740" t="s">
        <v>1353</v>
      </c>
      <c r="P30" s="740" t="s">
        <v>1354</v>
      </c>
      <c r="Q30" s="740" t="s">
        <v>1355</v>
      </c>
      <c r="R30" s="740" t="s">
        <v>1356</v>
      </c>
      <c r="S30" s="1190" t="s">
        <v>2116</v>
      </c>
      <c r="T30" s="1190" t="s">
        <v>2116</v>
      </c>
      <c r="U30" s="1190" t="s">
        <v>2116</v>
      </c>
      <c r="V30" s="1190" t="s">
        <v>2116</v>
      </c>
      <c r="AA30" s="1201" t="s">
        <v>1357</v>
      </c>
      <c r="AB30" s="1200" t="s">
        <v>1358</v>
      </c>
      <c r="AC30" s="1200" t="s">
        <v>1359</v>
      </c>
      <c r="AD30" s="1200" t="s">
        <v>1360</v>
      </c>
      <c r="AE30" s="1200" t="s">
        <v>1361</v>
      </c>
      <c r="AH30" s="1197" t="s">
        <v>2455</v>
      </c>
      <c r="AI30" s="1197" t="s">
        <v>525</v>
      </c>
      <c r="AM30" s="1195" t="s">
        <v>2586</v>
      </c>
      <c r="AN30" s="1197" t="s">
        <v>2571</v>
      </c>
      <c r="AR30" t="s">
        <v>854</v>
      </c>
      <c r="AS30" s="286" t="s">
        <v>1967</v>
      </c>
    </row>
    <row r="31" spans="1:45" ht="12.75">
      <c r="A31" s="174">
        <v>200</v>
      </c>
      <c r="B31" s="174">
        <f>'Design Data'!T28</f>
        <v>0</v>
      </c>
      <c r="C31" s="174">
        <v>0.075</v>
      </c>
      <c r="D31" s="174">
        <f t="shared" si="18"/>
        <v>0.3117292599535</v>
      </c>
      <c r="E31" s="174">
        <v>2</v>
      </c>
      <c r="F31" s="174">
        <v>5</v>
      </c>
      <c r="J31" s="1190" t="s">
        <v>2120</v>
      </c>
      <c r="K31" s="1190" t="s">
        <v>2235</v>
      </c>
      <c r="N31" s="740" t="s">
        <v>1362</v>
      </c>
      <c r="O31" s="740" t="s">
        <v>1363</v>
      </c>
      <c r="P31" s="740" t="s">
        <v>1364</v>
      </c>
      <c r="Q31" s="740" t="s">
        <v>1365</v>
      </c>
      <c r="R31" s="740" t="s">
        <v>1366</v>
      </c>
      <c r="S31" s="1190" t="s">
        <v>2114</v>
      </c>
      <c r="T31" s="1190" t="s">
        <v>2114</v>
      </c>
      <c r="U31" s="1190" t="s">
        <v>2109</v>
      </c>
      <c r="V31" s="286" t="s">
        <v>1367</v>
      </c>
      <c r="AA31" s="1200" t="s">
        <v>1368</v>
      </c>
      <c r="AB31" s="1200" t="s">
        <v>1369</v>
      </c>
      <c r="AC31" s="1200" t="s">
        <v>1370</v>
      </c>
      <c r="AD31" s="1200" t="s">
        <v>1371</v>
      </c>
      <c r="AE31" s="1200" t="s">
        <v>1372</v>
      </c>
      <c r="AM31" s="1195" t="s">
        <v>1150</v>
      </c>
      <c r="AN31" s="1195" t="s">
        <v>170</v>
      </c>
      <c r="AR31" t="s">
        <v>2040</v>
      </c>
      <c r="AS31" s="286" t="s">
        <v>765</v>
      </c>
    </row>
    <row r="32" spans="1:45" ht="12.75">
      <c r="A32" s="174"/>
      <c r="B32" s="174">
        <v>0</v>
      </c>
      <c r="C32" s="174">
        <v>0</v>
      </c>
      <c r="D32" s="174">
        <f t="shared" si="18"/>
        <v>0</v>
      </c>
      <c r="E32" s="174">
        <v>0</v>
      </c>
      <c r="F32" s="174">
        <v>0</v>
      </c>
      <c r="N32" s="740" t="s">
        <v>1373</v>
      </c>
      <c r="O32" s="740" t="s">
        <v>1374</v>
      </c>
      <c r="P32" s="740" t="s">
        <v>1375</v>
      </c>
      <c r="Q32" s="740" t="s">
        <v>1376</v>
      </c>
      <c r="R32" s="740" t="s">
        <v>1377</v>
      </c>
      <c r="S32" s="1190" t="s">
        <v>2109</v>
      </c>
      <c r="T32" s="1190" t="s">
        <v>2109</v>
      </c>
      <c r="U32" s="1190" t="s">
        <v>2109</v>
      </c>
      <c r="V32" s="286" t="s">
        <v>1367</v>
      </c>
      <c r="AA32" s="1200" t="s">
        <v>1378</v>
      </c>
      <c r="AB32" s="1200" t="s">
        <v>1379</v>
      </c>
      <c r="AC32" s="1200" t="s">
        <v>1380</v>
      </c>
      <c r="AD32" s="1200" t="s">
        <v>1381</v>
      </c>
      <c r="AE32" s="1200" t="s">
        <v>1382</v>
      </c>
      <c r="AM32" s="1195" t="s">
        <v>1151</v>
      </c>
      <c r="AN32" s="1195" t="s">
        <v>813</v>
      </c>
      <c r="AR32" t="s">
        <v>2039</v>
      </c>
      <c r="AS32" s="286" t="s">
        <v>771</v>
      </c>
    </row>
    <row r="33" spans="1:45" ht="12.75">
      <c r="A33" s="1198"/>
      <c r="B33" s="1198"/>
      <c r="C33" s="174"/>
      <c r="D33" s="174"/>
      <c r="E33" s="1198"/>
      <c r="F33" s="1198"/>
      <c r="J33" s="1190" t="s">
        <v>2109</v>
      </c>
      <c r="K33" s="1200" t="s">
        <v>2234</v>
      </c>
      <c r="N33" s="740" t="s">
        <v>1383</v>
      </c>
      <c r="O33" s="740" t="s">
        <v>1384</v>
      </c>
      <c r="P33" s="740" t="s">
        <v>1385</v>
      </c>
      <c r="Q33" s="740" t="s">
        <v>1386</v>
      </c>
      <c r="R33" s="740" t="s">
        <v>1387</v>
      </c>
      <c r="AA33" s="1200" t="s">
        <v>1388</v>
      </c>
      <c r="AB33" s="1200" t="s">
        <v>1389</v>
      </c>
      <c r="AC33" s="1200" t="s">
        <v>1390</v>
      </c>
      <c r="AD33" s="1200" t="s">
        <v>1391</v>
      </c>
      <c r="AE33" s="1200" t="s">
        <v>1392</v>
      </c>
      <c r="AM33" s="1195" t="s">
        <v>2005</v>
      </c>
      <c r="AN33" s="1195" t="s">
        <v>2004</v>
      </c>
      <c r="AR33" t="s">
        <v>2041</v>
      </c>
      <c r="AS33" s="286" t="s">
        <v>774</v>
      </c>
    </row>
    <row r="34" spans="1:45" ht="12.75">
      <c r="A34" s="1198" t="s">
        <v>2212</v>
      </c>
      <c r="B34" s="1198" t="s">
        <v>2213</v>
      </c>
      <c r="C34" s="174"/>
      <c r="D34" s="174"/>
      <c r="E34" s="174"/>
      <c r="F34" s="174"/>
      <c r="J34" s="1190" t="s">
        <v>2114</v>
      </c>
      <c r="K34" s="1200" t="s">
        <v>787</v>
      </c>
      <c r="N34" s="1202" t="s">
        <v>1393</v>
      </c>
      <c r="O34" s="740" t="s">
        <v>1394</v>
      </c>
      <c r="P34" s="740" t="s">
        <v>1395</v>
      </c>
      <c r="Q34" s="740" t="s">
        <v>1396</v>
      </c>
      <c r="R34" s="740" t="s">
        <v>1397</v>
      </c>
      <c r="T34" s="740"/>
      <c r="AA34" s="1201" t="s">
        <v>1398</v>
      </c>
      <c r="AB34" s="1200" t="s">
        <v>1399</v>
      </c>
      <c r="AC34" s="1200" t="s">
        <v>1400</v>
      </c>
      <c r="AD34" s="1200" t="s">
        <v>1401</v>
      </c>
      <c r="AE34" s="1200" t="s">
        <v>1406</v>
      </c>
      <c r="AM34" s="1195" t="s">
        <v>1152</v>
      </c>
      <c r="AN34" s="1195" t="s">
        <v>812</v>
      </c>
      <c r="AR34" t="s">
        <v>2042</v>
      </c>
      <c r="AS34" s="286" t="s">
        <v>783</v>
      </c>
    </row>
    <row r="35" spans="1:45" ht="12.75">
      <c r="A35" s="174">
        <v>2</v>
      </c>
      <c r="B35" s="174">
        <v>50</v>
      </c>
      <c r="C35" s="174"/>
      <c r="D35" s="174"/>
      <c r="E35" s="174"/>
      <c r="F35" s="174"/>
      <c r="J35" s="1190" t="s">
        <v>2116</v>
      </c>
      <c r="K35" s="1200" t="s">
        <v>786</v>
      </c>
      <c r="N35" s="740" t="s">
        <v>1407</v>
      </c>
      <c r="O35" s="740" t="s">
        <v>1408</v>
      </c>
      <c r="P35" s="740" t="s">
        <v>1409</v>
      </c>
      <c r="Q35" s="740" t="s">
        <v>1410</v>
      </c>
      <c r="R35" s="740" t="s">
        <v>1411</v>
      </c>
      <c r="AA35" s="1200" t="s">
        <v>1412</v>
      </c>
      <c r="AB35" s="1200" t="s">
        <v>1413</v>
      </c>
      <c r="AC35" s="1200" t="s">
        <v>1414</v>
      </c>
      <c r="AD35" s="1200" t="s">
        <v>1415</v>
      </c>
      <c r="AE35" s="1200" t="s">
        <v>1416</v>
      </c>
      <c r="AM35" s="1195" t="s">
        <v>1136</v>
      </c>
      <c r="AN35" s="1195" t="s">
        <v>2432</v>
      </c>
      <c r="AR35" t="s">
        <v>2043</v>
      </c>
      <c r="AS35" s="286" t="s">
        <v>1966</v>
      </c>
    </row>
    <row r="36" spans="1:45" ht="12.75">
      <c r="A36" s="1198">
        <v>1.5</v>
      </c>
      <c r="B36" s="174">
        <v>37.5</v>
      </c>
      <c r="C36" s="805"/>
      <c r="D36" s="174"/>
      <c r="E36" s="174"/>
      <c r="F36" s="174"/>
      <c r="J36" s="1190" t="s">
        <v>1919</v>
      </c>
      <c r="K36" s="1190" t="s">
        <v>1920</v>
      </c>
      <c r="N36" s="740" t="s">
        <v>1417</v>
      </c>
      <c r="O36" s="740" t="s">
        <v>1418</v>
      </c>
      <c r="P36" s="740" t="s">
        <v>1419</v>
      </c>
      <c r="Q36" s="740" t="s">
        <v>1420</v>
      </c>
      <c r="R36" s="740" t="s">
        <v>1421</v>
      </c>
      <c r="AA36" s="1200" t="s">
        <v>1422</v>
      </c>
      <c r="AB36" s="1200" t="s">
        <v>1423</v>
      </c>
      <c r="AC36" s="1200" t="s">
        <v>1424</v>
      </c>
      <c r="AD36" s="1200" t="s">
        <v>1425</v>
      </c>
      <c r="AE36" s="1200" t="s">
        <v>1426</v>
      </c>
      <c r="AM36" s="1195" t="s">
        <v>1153</v>
      </c>
      <c r="AN36" s="1195" t="s">
        <v>815</v>
      </c>
      <c r="AR36" t="s">
        <v>2037</v>
      </c>
      <c r="AS36" s="286" t="s">
        <v>763</v>
      </c>
    </row>
    <row r="37" spans="1:45" ht="12.75">
      <c r="A37" s="1198">
        <v>1</v>
      </c>
      <c r="B37" s="174">
        <v>25</v>
      </c>
      <c r="C37" s="174"/>
      <c r="D37" s="174"/>
      <c r="E37" s="174"/>
      <c r="F37" s="174"/>
      <c r="N37" s="1202" t="s">
        <v>1427</v>
      </c>
      <c r="O37" s="740" t="s">
        <v>1428</v>
      </c>
      <c r="P37" s="740" t="s">
        <v>1429</v>
      </c>
      <c r="Q37" s="740" t="s">
        <v>1430</v>
      </c>
      <c r="R37" s="740" t="s">
        <v>1431</v>
      </c>
      <c r="T37" s="1190" t="s">
        <v>1985</v>
      </c>
      <c r="AA37" s="1200" t="s">
        <v>1432</v>
      </c>
      <c r="AB37" s="1200" t="s">
        <v>1433</v>
      </c>
      <c r="AC37" s="1200" t="s">
        <v>1434</v>
      </c>
      <c r="AD37" s="1200" t="s">
        <v>1435</v>
      </c>
      <c r="AE37" s="1200" t="s">
        <v>1436</v>
      </c>
      <c r="AI37" s="1190" t="s">
        <v>267</v>
      </c>
      <c r="AJ37" s="286" t="s">
        <v>1104</v>
      </c>
      <c r="AM37" s="1195" t="s">
        <v>1137</v>
      </c>
      <c r="AN37" s="1195" t="s">
        <v>2433</v>
      </c>
      <c r="AR37" t="s">
        <v>2038</v>
      </c>
      <c r="AS37" s="286" t="s">
        <v>765</v>
      </c>
    </row>
    <row r="38" spans="1:45" ht="12.75">
      <c r="A38" s="174">
        <v>0.75</v>
      </c>
      <c r="B38" s="174">
        <v>19</v>
      </c>
      <c r="C38" s="174"/>
      <c r="D38" s="174"/>
      <c r="E38" s="174"/>
      <c r="F38" s="174"/>
      <c r="N38" s="740" t="s">
        <v>1437</v>
      </c>
      <c r="O38" s="740" t="s">
        <v>1438</v>
      </c>
      <c r="P38" s="740" t="s">
        <v>1439</v>
      </c>
      <c r="Q38" s="740" t="s">
        <v>1440</v>
      </c>
      <c r="R38" s="740" t="s">
        <v>1441</v>
      </c>
      <c r="T38" s="1190" t="s">
        <v>779</v>
      </c>
      <c r="AA38" s="1201" t="s">
        <v>1442</v>
      </c>
      <c r="AB38" s="1200" t="s">
        <v>1443</v>
      </c>
      <c r="AC38" s="1200" t="s">
        <v>1444</v>
      </c>
      <c r="AD38" s="1200" t="s">
        <v>1445</v>
      </c>
      <c r="AE38" s="1200" t="s">
        <v>1446</v>
      </c>
      <c r="AM38" s="1195" t="s">
        <v>2574</v>
      </c>
      <c r="AN38" s="1195" t="s">
        <v>2575</v>
      </c>
      <c r="AR38" t="s">
        <v>785</v>
      </c>
      <c r="AS38" s="286" t="s">
        <v>771</v>
      </c>
    </row>
    <row r="39" spans="1:45" ht="12.75">
      <c r="A39" s="1198">
        <v>0.5</v>
      </c>
      <c r="B39" s="174">
        <v>12.5</v>
      </c>
      <c r="C39" s="174"/>
      <c r="D39" s="174"/>
      <c r="E39" s="174"/>
      <c r="F39" s="174"/>
      <c r="N39" s="740" t="s">
        <v>1447</v>
      </c>
      <c r="O39" s="740" t="s">
        <v>1448</v>
      </c>
      <c r="P39" s="740" t="s">
        <v>1449</v>
      </c>
      <c r="Q39" s="740" t="s">
        <v>1450</v>
      </c>
      <c r="R39" s="740" t="s">
        <v>1451</v>
      </c>
      <c r="T39" s="1190" t="s">
        <v>780</v>
      </c>
      <c r="AA39" s="1200" t="s">
        <v>1452</v>
      </c>
      <c r="AB39" s="1200" t="s">
        <v>1453</v>
      </c>
      <c r="AC39" s="1200" t="s">
        <v>1454</v>
      </c>
      <c r="AD39" s="1200" t="s">
        <v>1455</v>
      </c>
      <c r="AE39" s="1200" t="s">
        <v>1456</v>
      </c>
      <c r="AM39" s="1195" t="s">
        <v>1140</v>
      </c>
      <c r="AN39" s="1195" t="s">
        <v>2434</v>
      </c>
      <c r="AR39" t="s">
        <v>788</v>
      </c>
      <c r="AS39" s="286" t="s">
        <v>774</v>
      </c>
    </row>
    <row r="40" spans="1:45" ht="12.75">
      <c r="A40" s="1198">
        <v>0.38</v>
      </c>
      <c r="B40" s="174">
        <v>9.5</v>
      </c>
      <c r="N40" s="740" t="s">
        <v>1457</v>
      </c>
      <c r="O40" s="740" t="s">
        <v>1458</v>
      </c>
      <c r="P40" s="740" t="s">
        <v>1459</v>
      </c>
      <c r="Q40" s="740" t="s">
        <v>1460</v>
      </c>
      <c r="R40" s="740" t="s">
        <v>1461</v>
      </c>
      <c r="T40" s="1242" t="s">
        <v>781</v>
      </c>
      <c r="AA40" s="1200" t="s">
        <v>1724</v>
      </c>
      <c r="AB40" s="1200" t="s">
        <v>1725</v>
      </c>
      <c r="AC40" s="1200" t="s">
        <v>1726</v>
      </c>
      <c r="AD40" s="1200" t="s">
        <v>1727</v>
      </c>
      <c r="AE40" s="1200" t="s">
        <v>1728</v>
      </c>
      <c r="AM40" s="1195" t="s">
        <v>1154</v>
      </c>
      <c r="AN40" s="1195" t="s">
        <v>806</v>
      </c>
      <c r="AR40" t="s">
        <v>789</v>
      </c>
      <c r="AS40" s="286" t="s">
        <v>783</v>
      </c>
    </row>
    <row r="41" spans="14:45" ht="12.75">
      <c r="N41" s="740" t="s">
        <v>1729</v>
      </c>
      <c r="O41" s="740" t="s">
        <v>1730</v>
      </c>
      <c r="P41" s="740" t="s">
        <v>1731</v>
      </c>
      <c r="Q41" s="740" t="s">
        <v>1732</v>
      </c>
      <c r="R41" s="740" t="s">
        <v>1733</v>
      </c>
      <c r="T41" s="1242" t="s">
        <v>782</v>
      </c>
      <c r="AA41" s="1200" t="s">
        <v>1734</v>
      </c>
      <c r="AB41" s="1200" t="s">
        <v>1735</v>
      </c>
      <c r="AC41" s="1200" t="s">
        <v>1736</v>
      </c>
      <c r="AD41" s="1200" t="s">
        <v>1737</v>
      </c>
      <c r="AE41" s="1200" t="s">
        <v>1738</v>
      </c>
      <c r="AM41" s="1195" t="s">
        <v>1155</v>
      </c>
      <c r="AN41" s="1195" t="s">
        <v>798</v>
      </c>
      <c r="AR41" t="s">
        <v>790</v>
      </c>
      <c r="AS41" s="286" t="s">
        <v>753</v>
      </c>
    </row>
    <row r="42" spans="14:45" ht="12.75">
      <c r="N42" s="740" t="s">
        <v>1739</v>
      </c>
      <c r="O42" s="740" t="s">
        <v>1740</v>
      </c>
      <c r="P42" s="740" t="s">
        <v>1741</v>
      </c>
      <c r="Q42" s="740" t="s">
        <v>1742</v>
      </c>
      <c r="R42" s="740" t="s">
        <v>1743</v>
      </c>
      <c r="T42" s="1460" t="s">
        <v>2525</v>
      </c>
      <c r="AA42" s="1201" t="s">
        <v>1744</v>
      </c>
      <c r="AB42" s="1200" t="s">
        <v>1745</v>
      </c>
      <c r="AC42" s="1200" t="s">
        <v>1746</v>
      </c>
      <c r="AD42" s="1200" t="s">
        <v>1747</v>
      </c>
      <c r="AE42" s="1200" t="s">
        <v>1748</v>
      </c>
      <c r="AM42" s="1195" t="s">
        <v>1156</v>
      </c>
      <c r="AN42" s="1195" t="s">
        <v>810</v>
      </c>
      <c r="AR42" t="s">
        <v>830</v>
      </c>
      <c r="AS42" s="286" t="s">
        <v>749</v>
      </c>
    </row>
    <row r="43" spans="14:45" ht="12.75">
      <c r="N43" s="740" t="s">
        <v>1749</v>
      </c>
      <c r="O43" s="740" t="s">
        <v>1750</v>
      </c>
      <c r="P43" s="740" t="s">
        <v>1751</v>
      </c>
      <c r="Q43" s="740" t="s">
        <v>1752</v>
      </c>
      <c r="R43" s="740" t="s">
        <v>1753</v>
      </c>
      <c r="T43" s="740" t="str">
        <f>IF(AND('Chart Data'!S55="Recycle",'Chart Data'!Y1=6,'Chart Data'!T55&lt;=20),T38,IF(AND('Chart Data'!S55="Recycle",'Chart Data'!Y1=6,'Chart Data'!T55&lt;=30),T39,IF(AND('Chart Data'!S55="Recycle",'Chart Data'!Y1=6,'Chart Data'!T55&gt;30),T40,T44)))</f>
        <v>(as specified in Bid Item)</v>
      </c>
      <c r="AA43" s="1200" t="s">
        <v>1754</v>
      </c>
      <c r="AB43" s="1200" t="s">
        <v>1755</v>
      </c>
      <c r="AC43" s="1200" t="s">
        <v>1756</v>
      </c>
      <c r="AD43" s="1200" t="s">
        <v>1757</v>
      </c>
      <c r="AE43" s="1200" t="s">
        <v>1758</v>
      </c>
      <c r="AI43" s="286" t="s">
        <v>2470</v>
      </c>
      <c r="AM43" s="1195" t="s">
        <v>1157</v>
      </c>
      <c r="AN43" s="1195" t="s">
        <v>816</v>
      </c>
      <c r="AR43" t="s">
        <v>831</v>
      </c>
      <c r="AS43" s="286" t="s">
        <v>748</v>
      </c>
    </row>
    <row r="44" spans="14:45" ht="12.75">
      <c r="N44" s="740" t="s">
        <v>1759</v>
      </c>
      <c r="O44" s="740" t="s">
        <v>1760</v>
      </c>
      <c r="P44" s="740" t="s">
        <v>1761</v>
      </c>
      <c r="Q44" s="740" t="s">
        <v>1762</v>
      </c>
      <c r="R44" s="740" t="s">
        <v>1763</v>
      </c>
      <c r="T44" s="740" t="str">
        <f>IF(AND('Chart Data'!S55="Recycle",'Chart Data'!Y1=3,'Chart Data'!T55&lt;=30),T39,IF(AND('Chart Data'!S55="Recycle",'Chart Data'!Y1=3,'Chart Data'!T55&gt;30),T40,"(as specified in Bid Item)"))</f>
        <v>(as specified in Bid Item)</v>
      </c>
      <c r="AA44" s="1200" t="s">
        <v>1764</v>
      </c>
      <c r="AB44" s="1200" t="s">
        <v>1765</v>
      </c>
      <c r="AC44" s="1200" t="s">
        <v>1766</v>
      </c>
      <c r="AD44" s="1200" t="s">
        <v>1767</v>
      </c>
      <c r="AE44" s="1200" t="s">
        <v>1768</v>
      </c>
      <c r="AI44" s="286" t="s">
        <v>2471</v>
      </c>
      <c r="AM44" s="1195" t="s">
        <v>1320</v>
      </c>
      <c r="AN44" s="1195" t="s">
        <v>1321</v>
      </c>
      <c r="AR44" t="s">
        <v>829</v>
      </c>
      <c r="AS44" s="286" t="s">
        <v>751</v>
      </c>
    </row>
    <row r="45" spans="14:45" ht="12.75">
      <c r="N45" s="740" t="s">
        <v>1769</v>
      </c>
      <c r="O45" s="740" t="s">
        <v>1770</v>
      </c>
      <c r="P45" s="740" t="s">
        <v>1771</v>
      </c>
      <c r="Q45" s="740" t="s">
        <v>1772</v>
      </c>
      <c r="R45" s="740" t="s">
        <v>1773</v>
      </c>
      <c r="AA45" s="1200" t="s">
        <v>1774</v>
      </c>
      <c r="AB45" s="1200" t="s">
        <v>1775</v>
      </c>
      <c r="AC45" s="1200" t="s">
        <v>1776</v>
      </c>
      <c r="AD45" s="1200" t="s">
        <v>1777</v>
      </c>
      <c r="AE45" s="1200" t="s">
        <v>1778</v>
      </c>
      <c r="AI45" s="286" t="s">
        <v>2472</v>
      </c>
      <c r="AM45" s="1195" t="s">
        <v>1158</v>
      </c>
      <c r="AN45" s="1195" t="s">
        <v>804</v>
      </c>
      <c r="AR45" t="s">
        <v>828</v>
      </c>
      <c r="AS45" s="286" t="s">
        <v>750</v>
      </c>
    </row>
    <row r="46" spans="14:45" ht="12.75">
      <c r="N46" s="740" t="s">
        <v>1779</v>
      </c>
      <c r="O46" s="740" t="s">
        <v>1780</v>
      </c>
      <c r="P46" s="740" t="s">
        <v>1781</v>
      </c>
      <c r="Q46" s="740" t="s">
        <v>1782</v>
      </c>
      <c r="R46" s="740" t="s">
        <v>1783</v>
      </c>
      <c r="AA46" s="1201" t="s">
        <v>1784</v>
      </c>
      <c r="AB46" s="1200" t="s">
        <v>1785</v>
      </c>
      <c r="AC46" s="1200" t="s">
        <v>1786</v>
      </c>
      <c r="AD46" s="1200" t="s">
        <v>1787</v>
      </c>
      <c r="AE46" s="1200" t="s">
        <v>1788</v>
      </c>
      <c r="AI46" s="286" t="s">
        <v>2473</v>
      </c>
      <c r="AM46" s="1195" t="s">
        <v>1130</v>
      </c>
      <c r="AN46" s="1195" t="s">
        <v>2589</v>
      </c>
      <c r="AR46" t="s">
        <v>2086</v>
      </c>
      <c r="AS46" s="286" t="s">
        <v>759</v>
      </c>
    </row>
    <row r="47" spans="12:45" ht="12.75">
      <c r="L47" s="286">
        <f>IF(W14="","",IF(W14="Bid Item Not In Drop-Down List",W23,VLOOKUP(W14,A50:L260,12,FALSE)))</f>
      </c>
      <c r="N47" s="740" t="s">
        <v>1789</v>
      </c>
      <c r="O47" s="740" t="s">
        <v>1790</v>
      </c>
      <c r="P47" s="740" t="s">
        <v>1791</v>
      </c>
      <c r="Q47" s="740" t="s">
        <v>1792</v>
      </c>
      <c r="R47" s="740" t="s">
        <v>1793</v>
      </c>
      <c r="AA47" s="1200" t="s">
        <v>1794</v>
      </c>
      <c r="AB47" s="1200" t="s">
        <v>1795</v>
      </c>
      <c r="AC47" s="1200" t="s">
        <v>1796</v>
      </c>
      <c r="AD47" s="1200" t="s">
        <v>1797</v>
      </c>
      <c r="AE47" s="1200" t="s">
        <v>1798</v>
      </c>
      <c r="AM47" s="1195" t="s">
        <v>1201</v>
      </c>
      <c r="AN47" s="1195" t="s">
        <v>2590</v>
      </c>
      <c r="AR47" t="s">
        <v>2087</v>
      </c>
      <c r="AS47" s="286" t="s">
        <v>761</v>
      </c>
    </row>
    <row r="48" spans="5:45" ht="12.75">
      <c r="E48" s="1455">
        <f>MID(F48,3,2)&amp;RIGHT(F48,2)</f>
      </c>
      <c r="F48" s="286">
        <f>IF(W14="","",IF(W14="Bid Item Not In Drop-Down List",W24,VLOOKUP(W14,A50:J260,6,FALSE)))</f>
      </c>
      <c r="G48" s="286">
        <f>IF(W14="","",VLOOKUP(W14,A50:J260,7,FALSE))</f>
      </c>
      <c r="H48" s="286">
        <f>IF(W14="","",IF(W14="Bid Item Not In Drop-Down List",X21,VLOOKUP(W14,A50:J260,8,FALSE)))</f>
      </c>
      <c r="I48" s="286">
        <f>IF(W14="","",VLOOKUP(W14,A50:J260,9,FALSE))</f>
      </c>
      <c r="J48" s="286">
        <f>IF(W14="Bid Item Not In Drop-Down List",W22,IF(W14="","",VLOOKUP(W14,A50:J260,10,FALSE)))</f>
      </c>
      <c r="K48" s="286">
        <f>IF(W14="Bid Item Not In Drop-Down List",LEFT(W25,1),IF(W14="","",VLOOKUP(W14,A50:K260,11,FALSE)))</f>
      </c>
      <c r="L48" s="286">
        <f>IF(L47="","","X")</f>
      </c>
      <c r="M48" s="1203">
        <f>IF(W14="","",VLOOKUP(W14,A50:M260,13,FALSE))</f>
      </c>
      <c r="N48" s="740" t="s">
        <v>1799</v>
      </c>
      <c r="O48" s="740" t="s">
        <v>1800</v>
      </c>
      <c r="P48" s="740" t="s">
        <v>1801</v>
      </c>
      <c r="Q48" s="740" t="s">
        <v>1802</v>
      </c>
      <c r="R48" s="740" t="s">
        <v>1803</v>
      </c>
      <c r="AA48" s="1200" t="s">
        <v>1804</v>
      </c>
      <c r="AB48" s="1200" t="s">
        <v>1805</v>
      </c>
      <c r="AC48" s="1200" t="s">
        <v>1806</v>
      </c>
      <c r="AD48" s="1200" t="s">
        <v>1807</v>
      </c>
      <c r="AE48" s="1200" t="s">
        <v>1808</v>
      </c>
      <c r="AM48" s="1195" t="s">
        <v>1159</v>
      </c>
      <c r="AN48" s="1195" t="s">
        <v>1322</v>
      </c>
      <c r="AR48" t="s">
        <v>2088</v>
      </c>
      <c r="AS48" s="286" t="s">
        <v>760</v>
      </c>
    </row>
    <row r="49" spans="1:45" ht="12.75">
      <c r="A49" s="1204" t="s">
        <v>1344</v>
      </c>
      <c r="B49" s="1190"/>
      <c r="C49" s="1190"/>
      <c r="D49" s="1190"/>
      <c r="E49" s="1205" t="s">
        <v>1333</v>
      </c>
      <c r="F49" s="1190" t="s">
        <v>2205</v>
      </c>
      <c r="G49" s="1190" t="s">
        <v>2206</v>
      </c>
      <c r="H49" s="1190" t="s">
        <v>2207</v>
      </c>
      <c r="I49" s="1190" t="s">
        <v>2208</v>
      </c>
      <c r="J49" s="1190" t="s">
        <v>2209</v>
      </c>
      <c r="K49" s="1190" t="s">
        <v>2220</v>
      </c>
      <c r="L49" s="1190" t="s">
        <v>2224</v>
      </c>
      <c r="M49" s="1190" t="s">
        <v>2293</v>
      </c>
      <c r="N49" s="740" t="s">
        <v>1809</v>
      </c>
      <c r="O49" s="740" t="s">
        <v>1810</v>
      </c>
      <c r="P49" s="740" t="s">
        <v>1811</v>
      </c>
      <c r="Q49" s="740" t="s">
        <v>1812</v>
      </c>
      <c r="R49" s="740" t="s">
        <v>1813</v>
      </c>
      <c r="S49" s="741">
        <f>IF(LEFT('Design Data'!H23,3)="240",'Design Data'!H23,"")</f>
      </c>
      <c r="T49" s="741">
        <f>IF(S49="","",'Design Data'!M23)</f>
      </c>
      <c r="U49" s="286">
        <f aca="true" t="shared" si="19" ref="U49:U54">IF(S49=24035,1,0)</f>
        <v>0</v>
      </c>
      <c r="V49" s="286">
        <f aca="true" t="shared" si="20" ref="V49:V54">IF(OR(S49=24025,S49=24030,S49=24033),1,0)</f>
        <v>0</v>
      </c>
      <c r="AA49" s="1200" t="s">
        <v>1814</v>
      </c>
      <c r="AB49" s="1200" t="s">
        <v>1815</v>
      </c>
      <c r="AC49" s="1200" t="s">
        <v>1816</v>
      </c>
      <c r="AD49" s="1200" t="s">
        <v>1817</v>
      </c>
      <c r="AE49" s="1200" t="s">
        <v>1818</v>
      </c>
      <c r="AM49" s="1195" t="s">
        <v>1323</v>
      </c>
      <c r="AN49" s="1195" t="s">
        <v>1324</v>
      </c>
      <c r="AR49" t="s">
        <v>2089</v>
      </c>
      <c r="AS49" s="286" t="s">
        <v>763</v>
      </c>
    </row>
    <row r="50" spans="5:45" ht="12.75">
      <c r="E50" s="1206"/>
      <c r="N50" s="740" t="s">
        <v>1819</v>
      </c>
      <c r="O50" s="740" t="s">
        <v>1820</v>
      </c>
      <c r="P50" s="740" t="s">
        <v>1821</v>
      </c>
      <c r="Q50" s="740" t="s">
        <v>1822</v>
      </c>
      <c r="R50" s="740" t="s">
        <v>1823</v>
      </c>
      <c r="S50" s="741">
        <f>IF(LEFT('Design Data'!H24,3)="240",'Design Data'!H24,"")</f>
      </c>
      <c r="T50" s="741">
        <f>IF(S50="","",'Design Data'!M24)</f>
      </c>
      <c r="U50" s="286">
        <f t="shared" si="19"/>
        <v>0</v>
      </c>
      <c r="V50" s="286">
        <f t="shared" si="20"/>
        <v>0</v>
      </c>
      <c r="AA50" s="1201" t="s">
        <v>1824</v>
      </c>
      <c r="AB50" s="1200" t="s">
        <v>1825</v>
      </c>
      <c r="AC50" s="1200" t="s">
        <v>1826</v>
      </c>
      <c r="AD50" s="1200" t="s">
        <v>1827</v>
      </c>
      <c r="AE50" s="1200" t="s">
        <v>1828</v>
      </c>
      <c r="AM50" s="1195" t="s">
        <v>1160</v>
      </c>
      <c r="AN50" s="1195" t="s">
        <v>1325</v>
      </c>
      <c r="AR50" t="s">
        <v>2090</v>
      </c>
      <c r="AS50" s="286" t="s">
        <v>762</v>
      </c>
    </row>
    <row r="51" spans="1:45" ht="12.75">
      <c r="A51" s="286" t="s">
        <v>1879</v>
      </c>
      <c r="E51" s="1243" t="s">
        <v>2162</v>
      </c>
      <c r="F51" s="1190" t="s">
        <v>2109</v>
      </c>
      <c r="G51" s="1190" t="s">
        <v>2124</v>
      </c>
      <c r="H51" s="286">
        <v>20025</v>
      </c>
      <c r="I51" s="286">
        <v>1.5</v>
      </c>
      <c r="J51" s="1190" t="s">
        <v>2210</v>
      </c>
      <c r="K51" s="1190" t="s">
        <v>2221</v>
      </c>
      <c r="L51" s="1190"/>
      <c r="M51" s="286" t="s">
        <v>2294</v>
      </c>
      <c r="N51" s="740" t="s">
        <v>1829</v>
      </c>
      <c r="O51" s="740" t="s">
        <v>1830</v>
      </c>
      <c r="P51" s="740" t="s">
        <v>1831</v>
      </c>
      <c r="Q51" s="740" t="s">
        <v>1832</v>
      </c>
      <c r="R51" s="740" t="s">
        <v>1833</v>
      </c>
      <c r="S51" s="741">
        <f>IF(LEFT('Design Data'!H25,3)="240",'Design Data'!H25,"")</f>
      </c>
      <c r="T51" s="741">
        <f>IF(S51="","",'Design Data'!M25)</f>
      </c>
      <c r="U51" s="286">
        <f t="shared" si="19"/>
        <v>0</v>
      </c>
      <c r="V51" s="286">
        <f t="shared" si="20"/>
        <v>0</v>
      </c>
      <c r="AA51" s="1200" t="s">
        <v>1834</v>
      </c>
      <c r="AB51" s="1200" t="s">
        <v>1835</v>
      </c>
      <c r="AC51" s="1200" t="s">
        <v>1836</v>
      </c>
      <c r="AD51" s="1200" t="s">
        <v>1837</v>
      </c>
      <c r="AE51" s="1200" t="s">
        <v>1838</v>
      </c>
      <c r="AM51" s="1195" t="s">
        <v>1161</v>
      </c>
      <c r="AN51" s="1195" t="s">
        <v>1208</v>
      </c>
      <c r="AR51" t="s">
        <v>2091</v>
      </c>
      <c r="AS51" s="286" t="s">
        <v>764</v>
      </c>
    </row>
    <row r="52" spans="1:45" ht="12.75">
      <c r="A52" s="1190" t="s">
        <v>2125</v>
      </c>
      <c r="E52" s="1243" t="s">
        <v>2162</v>
      </c>
      <c r="F52" s="286" t="str">
        <f>RIGHT(A52,7)</f>
        <v>PG64-22</v>
      </c>
      <c r="G52" s="1190" t="s">
        <v>2124</v>
      </c>
      <c r="H52" s="286">
        <v>20250</v>
      </c>
      <c r="I52" s="286">
        <v>0.5</v>
      </c>
      <c r="J52" s="286">
        <v>0.38</v>
      </c>
      <c r="K52" s="1190" t="s">
        <v>2221</v>
      </c>
      <c r="L52" s="1190"/>
      <c r="M52" s="286" t="s">
        <v>2295</v>
      </c>
      <c r="N52" s="740" t="s">
        <v>1839</v>
      </c>
      <c r="O52" s="740" t="s">
        <v>1840</v>
      </c>
      <c r="P52" s="740" t="s">
        <v>1841</v>
      </c>
      <c r="Q52" s="740" t="s">
        <v>1842</v>
      </c>
      <c r="R52" s="740" t="s">
        <v>1843</v>
      </c>
      <c r="S52" s="741">
        <f>IF(LEFT('Design Data'!H26,3)="240",'Design Data'!H26,"")</f>
      </c>
      <c r="T52" s="741">
        <f>IF(S52="","",'Design Data'!M26)</f>
      </c>
      <c r="U52" s="286">
        <f t="shared" si="19"/>
        <v>0</v>
      </c>
      <c r="V52" s="286">
        <f t="shared" si="20"/>
        <v>0</v>
      </c>
      <c r="AA52" s="1200" t="s">
        <v>1844</v>
      </c>
      <c r="AB52" s="1200" t="s">
        <v>1845</v>
      </c>
      <c r="AC52" s="1200" t="s">
        <v>1846</v>
      </c>
      <c r="AD52" s="1200" t="s">
        <v>1847</v>
      </c>
      <c r="AE52" s="1200" t="s">
        <v>1848</v>
      </c>
      <c r="AM52" s="1195" t="s">
        <v>1162</v>
      </c>
      <c r="AN52" s="1195" t="s">
        <v>1209</v>
      </c>
      <c r="AR52" t="s">
        <v>855</v>
      </c>
      <c r="AS52" s="286" t="s">
        <v>765</v>
      </c>
    </row>
    <row r="53" spans="1:45" ht="12.75">
      <c r="A53" s="1190" t="s">
        <v>2126</v>
      </c>
      <c r="E53" s="1243" t="s">
        <v>2162</v>
      </c>
      <c r="F53" s="286" t="str">
        <f>RIGHT(A53,7)</f>
        <v>PG64-22</v>
      </c>
      <c r="G53" s="1190" t="s">
        <v>2124</v>
      </c>
      <c r="H53" s="286">
        <v>20275</v>
      </c>
      <c r="I53" s="286">
        <v>0.75</v>
      </c>
      <c r="J53" s="286">
        <v>0.5</v>
      </c>
      <c r="K53" s="1190" t="s">
        <v>2221</v>
      </c>
      <c r="L53" s="1190"/>
      <c r="M53" s="286" t="s">
        <v>2296</v>
      </c>
      <c r="N53" s="740" t="s">
        <v>1849</v>
      </c>
      <c r="O53" s="740" t="s">
        <v>1850</v>
      </c>
      <c r="P53" s="740" t="s">
        <v>1851</v>
      </c>
      <c r="Q53" s="740" t="s">
        <v>1852</v>
      </c>
      <c r="R53" s="740" t="s">
        <v>1853</v>
      </c>
      <c r="S53" s="741">
        <f>IF(LEFT('Design Data'!H27,3)="240",'Design Data'!H27,"")</f>
      </c>
      <c r="T53" s="741">
        <f>IF(S53="","",'Design Data'!M27)</f>
      </c>
      <c r="U53" s="286">
        <f t="shared" si="19"/>
        <v>0</v>
      </c>
      <c r="V53" s="286">
        <f t="shared" si="20"/>
        <v>0</v>
      </c>
      <c r="AA53" s="1200" t="s">
        <v>1854</v>
      </c>
      <c r="AB53" s="1200" t="s">
        <v>1855</v>
      </c>
      <c r="AC53" s="1200" t="s">
        <v>1856</v>
      </c>
      <c r="AD53" s="1200" t="s">
        <v>1857</v>
      </c>
      <c r="AE53" s="1200" t="s">
        <v>1858</v>
      </c>
      <c r="AM53" s="1195" t="s">
        <v>1163</v>
      </c>
      <c r="AN53" s="1195" t="s">
        <v>2067</v>
      </c>
      <c r="AR53" t="s">
        <v>856</v>
      </c>
      <c r="AS53" s="286" t="s">
        <v>766</v>
      </c>
    </row>
    <row r="54" spans="1:45" ht="12.75">
      <c r="A54" s="1190" t="s">
        <v>2127</v>
      </c>
      <c r="E54" s="1243" t="s">
        <v>2162</v>
      </c>
      <c r="F54" s="286" t="str">
        <f>RIGHT(A54,7)</f>
        <v>PG64-22</v>
      </c>
      <c r="G54" s="1190" t="s">
        <v>2124</v>
      </c>
      <c r="H54" s="286">
        <v>20300</v>
      </c>
      <c r="I54" s="286">
        <v>1</v>
      </c>
      <c r="J54" s="286">
        <v>0.75</v>
      </c>
      <c r="K54" s="1190" t="s">
        <v>2221</v>
      </c>
      <c r="L54" s="1190"/>
      <c r="M54" s="286" t="s">
        <v>2297</v>
      </c>
      <c r="N54" s="740" t="s">
        <v>1859</v>
      </c>
      <c r="O54" s="740" t="s">
        <v>1860</v>
      </c>
      <c r="P54" s="740" t="s">
        <v>1861</v>
      </c>
      <c r="Q54" s="740" t="s">
        <v>1862</v>
      </c>
      <c r="R54" s="740" t="s">
        <v>1863</v>
      </c>
      <c r="S54" s="741">
        <f>IF(LEFT('Design Data'!H28,3)="240",'Design Data'!H28,"")</f>
      </c>
      <c r="T54" s="741">
        <f>IF(S54="","",'Design Data'!M28)</f>
      </c>
      <c r="U54" s="286">
        <f t="shared" si="19"/>
        <v>0</v>
      </c>
      <c r="V54" s="286">
        <f t="shared" si="20"/>
        <v>0</v>
      </c>
      <c r="AA54" s="1201" t="s">
        <v>1864</v>
      </c>
      <c r="AB54" s="1200" t="s">
        <v>1865</v>
      </c>
      <c r="AC54" s="1200" t="s">
        <v>1866</v>
      </c>
      <c r="AD54" s="1200" t="s">
        <v>1867</v>
      </c>
      <c r="AE54" s="1200" t="s">
        <v>1868</v>
      </c>
      <c r="AM54" s="1195" t="s">
        <v>2436</v>
      </c>
      <c r="AN54" s="1195" t="s">
        <v>2437</v>
      </c>
      <c r="AR54" t="s">
        <v>2092</v>
      </c>
      <c r="AS54" s="286" t="s">
        <v>767</v>
      </c>
    </row>
    <row r="55" spans="1:45" ht="12.75">
      <c r="A55" s="1190" t="s">
        <v>2128</v>
      </c>
      <c r="E55" s="1243" t="s">
        <v>2162</v>
      </c>
      <c r="F55" s="286" t="str">
        <f>RIGHT(A55,7)</f>
        <v>PG64-22</v>
      </c>
      <c r="G55" s="1190" t="s">
        <v>2124</v>
      </c>
      <c r="H55" s="286">
        <v>20325</v>
      </c>
      <c r="I55" s="286">
        <v>1.5</v>
      </c>
      <c r="J55" s="286">
        <v>1</v>
      </c>
      <c r="K55" s="1190" t="s">
        <v>2221</v>
      </c>
      <c r="L55" s="1190"/>
      <c r="M55" s="286" t="s">
        <v>2298</v>
      </c>
      <c r="N55" s="740" t="s">
        <v>1869</v>
      </c>
      <c r="O55" s="740" t="s">
        <v>1870</v>
      </c>
      <c r="P55" s="740" t="s">
        <v>1871</v>
      </c>
      <c r="Q55" s="740" t="s">
        <v>1872</v>
      </c>
      <c r="R55" s="740" t="s">
        <v>1873</v>
      </c>
      <c r="S55" s="1241">
        <f>IF(AND(S49="",S50="",S51="",S52="",S53="",S54=""),"","Recycle")</f>
      </c>
      <c r="T55" s="741">
        <f>SUM(T49:T54)</f>
        <v>0</v>
      </c>
      <c r="U55" s="286">
        <f>SUM(U49:U54)</f>
        <v>0</v>
      </c>
      <c r="V55" s="286">
        <f>SUM(V49:V54)</f>
        <v>0</v>
      </c>
      <c r="W55" s="286">
        <f>SUM(U55:V55)</f>
        <v>0</v>
      </c>
      <c r="AA55" s="1200" t="s">
        <v>1874</v>
      </c>
      <c r="AB55" s="1200" t="s">
        <v>1875</v>
      </c>
      <c r="AC55" s="1200" t="s">
        <v>1876</v>
      </c>
      <c r="AD55" s="1200" t="s">
        <v>1877</v>
      </c>
      <c r="AE55" s="1200" t="s">
        <v>1878</v>
      </c>
      <c r="AM55" s="1195" t="s">
        <v>1128</v>
      </c>
      <c r="AN55" s="1195" t="s">
        <v>2484</v>
      </c>
      <c r="AR55" t="s">
        <v>857</v>
      </c>
      <c r="AS55" s="286" t="s">
        <v>768</v>
      </c>
    </row>
    <row r="56" spans="1:45" ht="12.75">
      <c r="A56" s="1190" t="s">
        <v>2129</v>
      </c>
      <c r="E56" s="1243" t="s">
        <v>2162</v>
      </c>
      <c r="F56" s="286" t="str">
        <f>RIGHT(A56,7)</f>
        <v>PG64-22</v>
      </c>
      <c r="G56" s="1190" t="s">
        <v>2124</v>
      </c>
      <c r="H56" s="286">
        <v>20350</v>
      </c>
      <c r="I56" s="286">
        <v>2</v>
      </c>
      <c r="J56" s="286">
        <v>1.5</v>
      </c>
      <c r="K56" s="1190" t="s">
        <v>2221</v>
      </c>
      <c r="L56" s="1190"/>
      <c r="M56" s="286" t="s">
        <v>2299</v>
      </c>
      <c r="P56" s="286" t="s">
        <v>905</v>
      </c>
      <c r="Q56" s="286" t="s">
        <v>905</v>
      </c>
      <c r="R56" s="286" t="s">
        <v>905</v>
      </c>
      <c r="AM56" s="1195" t="s">
        <v>1129</v>
      </c>
      <c r="AN56" s="1195" t="s">
        <v>2485</v>
      </c>
      <c r="AR56" t="s">
        <v>858</v>
      </c>
      <c r="AS56" s="286" t="s">
        <v>769</v>
      </c>
    </row>
    <row r="57" spans="1:45" ht="12.75">
      <c r="A57" s="1190" t="s">
        <v>2130</v>
      </c>
      <c r="E57" s="1243" t="s">
        <v>2162</v>
      </c>
      <c r="F57" s="286" t="str">
        <f aca="true" t="shared" si="21" ref="F57:F72">RIGHT(A57,7)</f>
        <v>PG64-22</v>
      </c>
      <c r="G57" s="1190" t="s">
        <v>2124</v>
      </c>
      <c r="H57" s="286">
        <v>20375</v>
      </c>
      <c r="I57" s="286">
        <v>0.5</v>
      </c>
      <c r="J57" s="286">
        <v>0.38</v>
      </c>
      <c r="K57" s="1190" t="s">
        <v>2221</v>
      </c>
      <c r="L57" s="1190"/>
      <c r="M57" s="286" t="s">
        <v>2300</v>
      </c>
      <c r="R57" s="286" t="s">
        <v>905</v>
      </c>
      <c r="AM57" s="1195" t="s">
        <v>2576</v>
      </c>
      <c r="AN57" s="1195" t="s">
        <v>2577</v>
      </c>
      <c r="AR57" t="s">
        <v>2093</v>
      </c>
      <c r="AS57" s="286" t="s">
        <v>770</v>
      </c>
    </row>
    <row r="58" spans="1:45" ht="12.75">
      <c r="A58" s="1190" t="s">
        <v>2131</v>
      </c>
      <c r="E58" s="1243" t="s">
        <v>2162</v>
      </c>
      <c r="F58" s="286" t="str">
        <f t="shared" si="21"/>
        <v>PG64-22</v>
      </c>
      <c r="G58" s="1190" t="s">
        <v>2124</v>
      </c>
      <c r="H58" s="286">
        <v>20400</v>
      </c>
      <c r="I58" s="286">
        <v>0.75</v>
      </c>
      <c r="J58" s="286">
        <v>0.5</v>
      </c>
      <c r="K58" s="1190" t="s">
        <v>2221</v>
      </c>
      <c r="L58" s="1190"/>
      <c r="M58" s="286" t="s">
        <v>2301</v>
      </c>
      <c r="AM58" s="1195" t="s">
        <v>1165</v>
      </c>
      <c r="AN58" s="1195" t="s">
        <v>2578</v>
      </c>
      <c r="AR58" t="s">
        <v>859</v>
      </c>
      <c r="AS58" s="286" t="s">
        <v>771</v>
      </c>
    </row>
    <row r="59" spans="1:45" ht="12.75">
      <c r="A59" s="1190" t="s">
        <v>2132</v>
      </c>
      <c r="E59" s="1243" t="s">
        <v>2162</v>
      </c>
      <c r="F59" s="286" t="str">
        <f t="shared" si="21"/>
        <v>PG64-22</v>
      </c>
      <c r="G59" s="1190" t="s">
        <v>2124</v>
      </c>
      <c r="H59" s="286">
        <v>20425</v>
      </c>
      <c r="I59" s="286">
        <v>1</v>
      </c>
      <c r="J59" s="286">
        <v>0.75</v>
      </c>
      <c r="K59" s="1190" t="s">
        <v>2221</v>
      </c>
      <c r="L59" s="1190"/>
      <c r="M59" s="286" t="s">
        <v>2302</v>
      </c>
      <c r="AM59" s="1195" t="s">
        <v>1166</v>
      </c>
      <c r="AN59" s="1195" t="s">
        <v>2069</v>
      </c>
      <c r="AR59" t="s">
        <v>860</v>
      </c>
      <c r="AS59" s="286" t="s">
        <v>772</v>
      </c>
    </row>
    <row r="60" spans="1:45" ht="12.75">
      <c r="A60" s="1190" t="s">
        <v>2133</v>
      </c>
      <c r="E60" s="1243" t="s">
        <v>2162</v>
      </c>
      <c r="F60" s="286" t="str">
        <f t="shared" si="21"/>
        <v>PG64-22</v>
      </c>
      <c r="G60" s="1190" t="s">
        <v>2124</v>
      </c>
      <c r="H60" s="286">
        <v>20450</v>
      </c>
      <c r="I60" s="286">
        <v>1.5</v>
      </c>
      <c r="J60" s="286">
        <v>1</v>
      </c>
      <c r="K60" s="1190" t="s">
        <v>2221</v>
      </c>
      <c r="L60" s="1190"/>
      <c r="M60" s="286" t="s">
        <v>2303</v>
      </c>
      <c r="AM60" s="1195" t="s">
        <v>2486</v>
      </c>
      <c r="AN60" s="1195" t="s">
        <v>2487</v>
      </c>
      <c r="AR60" t="s">
        <v>2094</v>
      </c>
      <c r="AS60" s="286" t="s">
        <v>773</v>
      </c>
    </row>
    <row r="61" spans="1:45" ht="12.75">
      <c r="A61" s="1190" t="s">
        <v>2134</v>
      </c>
      <c r="E61" s="1243" t="s">
        <v>2162</v>
      </c>
      <c r="F61" s="286" t="str">
        <f t="shared" si="21"/>
        <v>PG64-22</v>
      </c>
      <c r="G61" s="1190" t="s">
        <v>2124</v>
      </c>
      <c r="H61" s="286">
        <v>20475</v>
      </c>
      <c r="I61" s="286">
        <v>2</v>
      </c>
      <c r="J61" s="286">
        <v>1.5</v>
      </c>
      <c r="K61" s="1190" t="s">
        <v>2221</v>
      </c>
      <c r="L61" s="1190"/>
      <c r="M61" s="286" t="s">
        <v>2304</v>
      </c>
      <c r="AM61" s="1195" t="s">
        <v>1167</v>
      </c>
      <c r="AN61" s="1195" t="s">
        <v>2084</v>
      </c>
      <c r="AR61" t="s">
        <v>861</v>
      </c>
      <c r="AS61" s="286" t="s">
        <v>774</v>
      </c>
    </row>
    <row r="62" spans="1:45" ht="12.75">
      <c r="A62" s="1190" t="s">
        <v>2140</v>
      </c>
      <c r="E62" s="1223" t="s">
        <v>2161</v>
      </c>
      <c r="F62" s="286" t="str">
        <f t="shared" si="21"/>
        <v>PG76-22</v>
      </c>
      <c r="G62" s="1190" t="s">
        <v>2124</v>
      </c>
      <c r="H62" s="286">
        <v>20375</v>
      </c>
      <c r="I62" s="286">
        <v>0.5</v>
      </c>
      <c r="J62" s="286">
        <v>0.38</v>
      </c>
      <c r="K62" s="1190" t="s">
        <v>2221</v>
      </c>
      <c r="L62" s="1190"/>
      <c r="M62" s="286" t="s">
        <v>2305</v>
      </c>
      <c r="O62" s="1190" t="s">
        <v>1227</v>
      </c>
      <c r="P62" s="1190" t="s">
        <v>281</v>
      </c>
      <c r="Q62" s="1190" t="s">
        <v>2209</v>
      </c>
      <c r="R62" s="1190" t="s">
        <v>2180</v>
      </c>
      <c r="S62" s="1190" t="s">
        <v>2182</v>
      </c>
      <c r="T62" s="1190" t="s">
        <v>2251</v>
      </c>
      <c r="AM62" s="1195" t="s">
        <v>1168</v>
      </c>
      <c r="AN62" s="1195" t="s">
        <v>2081</v>
      </c>
      <c r="AR62" t="s">
        <v>862</v>
      </c>
      <c r="AS62" s="286" t="s">
        <v>775</v>
      </c>
    </row>
    <row r="63" spans="1:45" ht="12.75">
      <c r="A63" s="1190" t="s">
        <v>2141</v>
      </c>
      <c r="E63" s="1223" t="s">
        <v>2161</v>
      </c>
      <c r="F63" s="286" t="str">
        <f t="shared" si="21"/>
        <v>PG76-22</v>
      </c>
      <c r="G63" s="1190" t="s">
        <v>2124</v>
      </c>
      <c r="H63" s="286">
        <v>20400</v>
      </c>
      <c r="I63" s="286">
        <v>0.75</v>
      </c>
      <c r="J63" s="286">
        <v>0.5</v>
      </c>
      <c r="K63" s="1190" t="s">
        <v>2221</v>
      </c>
      <c r="L63" s="1190"/>
      <c r="M63" s="286" t="s">
        <v>2306</v>
      </c>
      <c r="AM63" s="1195" t="s">
        <v>1169</v>
      </c>
      <c r="AN63" s="1195" t="s">
        <v>2072</v>
      </c>
      <c r="AR63" t="s">
        <v>2095</v>
      </c>
      <c r="AS63" s="286" t="s">
        <v>776</v>
      </c>
    </row>
    <row r="64" spans="1:45" ht="12.75">
      <c r="A64" s="1190" t="s">
        <v>2142</v>
      </c>
      <c r="E64" s="1223" t="s">
        <v>2161</v>
      </c>
      <c r="F64" s="286" t="str">
        <f t="shared" si="21"/>
        <v>PG76-22</v>
      </c>
      <c r="G64" s="1190" t="s">
        <v>2124</v>
      </c>
      <c r="H64" s="286">
        <v>20425</v>
      </c>
      <c r="I64" s="286">
        <v>1</v>
      </c>
      <c r="J64" s="286">
        <v>0.75</v>
      </c>
      <c r="K64" s="1190" t="s">
        <v>2221</v>
      </c>
      <c r="L64" s="1190"/>
      <c r="M64" s="286" t="s">
        <v>2307</v>
      </c>
      <c r="O64" s="1190" t="s">
        <v>2174</v>
      </c>
      <c r="P64" s="1190" t="s">
        <v>2171</v>
      </c>
      <c r="Q64" s="1226" t="s">
        <v>2000</v>
      </c>
      <c r="R64" s="1190" t="s">
        <v>997</v>
      </c>
      <c r="S64" s="1190" t="s">
        <v>2110</v>
      </c>
      <c r="T64" s="1190" t="s">
        <v>2315</v>
      </c>
      <c r="AM64" s="1195" t="s">
        <v>1170</v>
      </c>
      <c r="AN64" s="1195" t="s">
        <v>794</v>
      </c>
      <c r="AR64" t="s">
        <v>863</v>
      </c>
      <c r="AS64" s="286" t="s">
        <v>783</v>
      </c>
    </row>
    <row r="65" spans="1:45" ht="12.75">
      <c r="A65" s="1190" t="s">
        <v>2143</v>
      </c>
      <c r="E65" s="1223" t="s">
        <v>2161</v>
      </c>
      <c r="F65" s="286" t="str">
        <f t="shared" si="21"/>
        <v>PG76-22</v>
      </c>
      <c r="G65" s="1190" t="s">
        <v>2124</v>
      </c>
      <c r="H65" s="286">
        <v>20450</v>
      </c>
      <c r="I65" s="286">
        <v>1.5</v>
      </c>
      <c r="J65" s="286">
        <v>1</v>
      </c>
      <c r="K65" s="1190" t="s">
        <v>2221</v>
      </c>
      <c r="L65" s="1190"/>
      <c r="M65" s="286" t="s">
        <v>2310</v>
      </c>
      <c r="O65" s="1190" t="s">
        <v>2175</v>
      </c>
      <c r="P65" s="1190" t="s">
        <v>2172</v>
      </c>
      <c r="Q65" s="1226" t="s">
        <v>2001</v>
      </c>
      <c r="R65" s="1190" t="s">
        <v>998</v>
      </c>
      <c r="S65" s="1190" t="s">
        <v>2111</v>
      </c>
      <c r="T65" s="1190" t="s">
        <v>2316</v>
      </c>
      <c r="AM65" s="1195" t="s">
        <v>1171</v>
      </c>
      <c r="AN65" s="1195" t="s">
        <v>2073</v>
      </c>
      <c r="AR65" t="s">
        <v>864</v>
      </c>
      <c r="AS65" s="286" t="s">
        <v>784</v>
      </c>
    </row>
    <row r="66" spans="1:45" ht="12.75">
      <c r="A66" s="1190" t="s">
        <v>2144</v>
      </c>
      <c r="E66" s="1223" t="s">
        <v>2161</v>
      </c>
      <c r="F66" s="286" t="str">
        <f t="shared" si="21"/>
        <v>PG76-22</v>
      </c>
      <c r="G66" s="1190" t="s">
        <v>2124</v>
      </c>
      <c r="H66" s="286">
        <v>20475</v>
      </c>
      <c r="I66" s="286">
        <v>2</v>
      </c>
      <c r="J66" s="286">
        <v>1.5</v>
      </c>
      <c r="K66" s="1190" t="s">
        <v>2221</v>
      </c>
      <c r="L66" s="1190"/>
      <c r="M66" s="286" t="s">
        <v>2311</v>
      </c>
      <c r="O66" s="1190" t="s">
        <v>2176</v>
      </c>
      <c r="P66" s="1190" t="s">
        <v>2173</v>
      </c>
      <c r="Q66" s="1226" t="s">
        <v>2178</v>
      </c>
      <c r="R66" s="1190" t="s">
        <v>2181</v>
      </c>
      <c r="S66" s="1190" t="s">
        <v>2109</v>
      </c>
      <c r="AM66" s="1195" t="s">
        <v>1172</v>
      </c>
      <c r="AN66" s="1195" t="s">
        <v>2077</v>
      </c>
      <c r="AR66" t="s">
        <v>827</v>
      </c>
      <c r="AS66" s="286" t="s">
        <v>752</v>
      </c>
    </row>
    <row r="67" spans="1:45" ht="12.75">
      <c r="A67" s="1190" t="s">
        <v>2145</v>
      </c>
      <c r="E67" s="1223" t="s">
        <v>2161</v>
      </c>
      <c r="F67" s="286" t="str">
        <f t="shared" si="21"/>
        <v>PG76-22</v>
      </c>
      <c r="G67" s="1190" t="s">
        <v>2124</v>
      </c>
      <c r="H67" s="286">
        <v>20250</v>
      </c>
      <c r="I67" s="286">
        <v>0.5</v>
      </c>
      <c r="J67" s="286">
        <v>0.38</v>
      </c>
      <c r="K67" s="1190" t="s">
        <v>2221</v>
      </c>
      <c r="L67" s="1190"/>
      <c r="M67" s="286" t="s">
        <v>2312</v>
      </c>
      <c r="O67" s="1190" t="s">
        <v>2177</v>
      </c>
      <c r="Q67" s="1226" t="s">
        <v>2002</v>
      </c>
      <c r="S67" s="1190" t="s">
        <v>2112</v>
      </c>
      <c r="AM67" s="1195" t="s">
        <v>1173</v>
      </c>
      <c r="AN67" s="1195" t="s">
        <v>802</v>
      </c>
      <c r="AR67" t="s">
        <v>2096</v>
      </c>
      <c r="AS67" s="286" t="s">
        <v>1963</v>
      </c>
    </row>
    <row r="68" spans="1:45" ht="12.75">
      <c r="A68" s="1190" t="s">
        <v>2146</v>
      </c>
      <c r="E68" s="1223" t="s">
        <v>2161</v>
      </c>
      <c r="F68" s="286" t="str">
        <f t="shared" si="21"/>
        <v>PG76-22</v>
      </c>
      <c r="G68" s="1190" t="s">
        <v>2124</v>
      </c>
      <c r="H68" s="286">
        <v>20275</v>
      </c>
      <c r="I68" s="286">
        <v>0.75</v>
      </c>
      <c r="J68" s="286">
        <v>0.5</v>
      </c>
      <c r="K68" s="1190" t="s">
        <v>2221</v>
      </c>
      <c r="L68" s="1190"/>
      <c r="M68" s="286" t="s">
        <v>2313</v>
      </c>
      <c r="Q68" s="1226" t="s">
        <v>2179</v>
      </c>
      <c r="S68" s="1190" t="s">
        <v>2113</v>
      </c>
      <c r="AM68" s="1195" t="s">
        <v>1174</v>
      </c>
      <c r="AN68" s="1195" t="s">
        <v>2078</v>
      </c>
      <c r="AR68" t="s">
        <v>865</v>
      </c>
      <c r="AS68" s="286" t="s">
        <v>1964</v>
      </c>
    </row>
    <row r="69" spans="1:45" ht="12.75">
      <c r="A69" s="1190" t="s">
        <v>2147</v>
      </c>
      <c r="E69" s="1223" t="s">
        <v>2161</v>
      </c>
      <c r="F69" s="286" t="str">
        <f t="shared" si="21"/>
        <v>PG76-22</v>
      </c>
      <c r="G69" s="1190" t="s">
        <v>2124</v>
      </c>
      <c r="H69" s="286">
        <v>20300</v>
      </c>
      <c r="I69" s="286">
        <v>1</v>
      </c>
      <c r="J69" s="286">
        <v>0.75</v>
      </c>
      <c r="K69" s="1190" t="s">
        <v>2221</v>
      </c>
      <c r="L69" s="1190"/>
      <c r="M69" s="286" t="s">
        <v>2314</v>
      </c>
      <c r="Q69" s="1225"/>
      <c r="S69" s="1190" t="s">
        <v>2114</v>
      </c>
      <c r="AM69" s="1195" t="s">
        <v>1175</v>
      </c>
      <c r="AN69" s="1195" t="s">
        <v>795</v>
      </c>
      <c r="AR69" t="s">
        <v>866</v>
      </c>
      <c r="AS69" s="286" t="s">
        <v>1965</v>
      </c>
    </row>
    <row r="70" spans="1:45" ht="12.75">
      <c r="A70" s="1190" t="s">
        <v>2148</v>
      </c>
      <c r="E70" s="1223" t="s">
        <v>2161</v>
      </c>
      <c r="F70" s="286" t="str">
        <f t="shared" si="21"/>
        <v>PG76-22</v>
      </c>
      <c r="G70" s="1190" t="s">
        <v>2124</v>
      </c>
      <c r="H70" s="286">
        <v>20325</v>
      </c>
      <c r="I70" s="286">
        <v>1.5</v>
      </c>
      <c r="J70" s="286">
        <v>1</v>
      </c>
      <c r="K70" s="1190" t="s">
        <v>2221</v>
      </c>
      <c r="L70" s="1190"/>
      <c r="M70" s="286" t="s">
        <v>2317</v>
      </c>
      <c r="S70" s="1190" t="s">
        <v>2115</v>
      </c>
      <c r="AM70" s="1195" t="s">
        <v>1176</v>
      </c>
      <c r="AN70" s="1195" t="s">
        <v>807</v>
      </c>
      <c r="AR70" t="s">
        <v>826</v>
      </c>
      <c r="AS70" s="286" t="s">
        <v>1968</v>
      </c>
    </row>
    <row r="71" spans="1:45" ht="12.75">
      <c r="A71" s="1190" t="s">
        <v>2149</v>
      </c>
      <c r="E71" s="1223" t="s">
        <v>2161</v>
      </c>
      <c r="F71" s="286" t="str">
        <f t="shared" si="21"/>
        <v>PG76-22</v>
      </c>
      <c r="G71" s="1190" t="s">
        <v>2124</v>
      </c>
      <c r="H71" s="286">
        <v>20350</v>
      </c>
      <c r="I71" s="286">
        <v>2</v>
      </c>
      <c r="J71" s="286">
        <v>1.5</v>
      </c>
      <c r="K71" s="1190" t="s">
        <v>2221</v>
      </c>
      <c r="L71" s="1190"/>
      <c r="M71" s="286" t="s">
        <v>2318</v>
      </c>
      <c r="S71" s="1190" t="s">
        <v>2116</v>
      </c>
      <c r="AM71" s="1195" t="s">
        <v>1177</v>
      </c>
      <c r="AN71" s="1195" t="s">
        <v>809</v>
      </c>
      <c r="AR71" t="s">
        <v>825</v>
      </c>
      <c r="AS71" s="286" t="s">
        <v>758</v>
      </c>
    </row>
    <row r="72" spans="1:45" ht="12.75">
      <c r="A72" s="286" t="s">
        <v>1881</v>
      </c>
      <c r="E72" s="1243" t="s">
        <v>2162</v>
      </c>
      <c r="F72" s="286" t="str">
        <f t="shared" si="21"/>
        <v>PG64-22</v>
      </c>
      <c r="G72" s="286">
        <v>2</v>
      </c>
      <c r="H72" s="760">
        <v>20625</v>
      </c>
      <c r="I72" s="286">
        <v>2</v>
      </c>
      <c r="J72" s="286">
        <v>1.5</v>
      </c>
      <c r="K72" s="1190" t="s">
        <v>2221</v>
      </c>
      <c r="M72" s="286" t="s">
        <v>2319</v>
      </c>
      <c r="S72" s="1190" t="s">
        <v>2117</v>
      </c>
      <c r="AM72" s="1195" t="s">
        <v>2488</v>
      </c>
      <c r="AN72" s="1195" t="s">
        <v>2102</v>
      </c>
      <c r="AR72" t="s">
        <v>824</v>
      </c>
      <c r="AS72" s="286" t="s">
        <v>757</v>
      </c>
    </row>
    <row r="73" spans="1:45" ht="12.75">
      <c r="A73" s="286" t="s">
        <v>1882</v>
      </c>
      <c r="E73" s="1243" t="s">
        <v>2162</v>
      </c>
      <c r="F73" s="286" t="str">
        <f aca="true" t="shared" si="22" ref="F73:F88">RIGHT(A73,7)</f>
        <v>PG64-22</v>
      </c>
      <c r="G73" s="286">
        <v>3</v>
      </c>
      <c r="H73" s="760">
        <v>20625</v>
      </c>
      <c r="I73" s="286">
        <v>2</v>
      </c>
      <c r="J73" s="286">
        <v>1.5</v>
      </c>
      <c r="K73" s="1190" t="s">
        <v>2221</v>
      </c>
      <c r="M73" s="286" t="s">
        <v>2320</v>
      </c>
      <c r="S73" s="1190" t="s">
        <v>2118</v>
      </c>
      <c r="AM73" s="1195" t="s">
        <v>1178</v>
      </c>
      <c r="AN73" s="1195" t="s">
        <v>808</v>
      </c>
      <c r="AR73" t="s">
        <v>823</v>
      </c>
      <c r="AS73" s="286" t="s">
        <v>755</v>
      </c>
    </row>
    <row r="74" spans="1:45" ht="12.75">
      <c r="A74" s="286" t="s">
        <v>1883</v>
      </c>
      <c r="E74" s="1223" t="s">
        <v>2161</v>
      </c>
      <c r="F74" s="286" t="str">
        <f t="shared" si="22"/>
        <v>PG76-22</v>
      </c>
      <c r="G74" s="286">
        <v>3</v>
      </c>
      <c r="H74" s="760">
        <v>20625</v>
      </c>
      <c r="I74" s="286">
        <v>2</v>
      </c>
      <c r="J74" s="286">
        <v>1.5</v>
      </c>
      <c r="K74" s="1190" t="s">
        <v>2221</v>
      </c>
      <c r="M74" s="286" t="s">
        <v>2321</v>
      </c>
      <c r="S74" s="1190" t="s">
        <v>2119</v>
      </c>
      <c r="AM74" s="1195" t="s">
        <v>1179</v>
      </c>
      <c r="AN74" s="1195" t="s">
        <v>817</v>
      </c>
      <c r="AR74" t="s">
        <v>821</v>
      </c>
      <c r="AS74" s="286" t="s">
        <v>754</v>
      </c>
    </row>
    <row r="75" spans="1:45" ht="12.75">
      <c r="A75" s="286" t="s">
        <v>1884</v>
      </c>
      <c r="E75" s="1243" t="s">
        <v>2162</v>
      </c>
      <c r="F75" s="286" t="str">
        <f t="shared" si="22"/>
        <v>PG64-22</v>
      </c>
      <c r="G75" s="286">
        <v>4</v>
      </c>
      <c r="H75" s="760">
        <v>20625</v>
      </c>
      <c r="I75" s="286">
        <v>2</v>
      </c>
      <c r="J75" s="286">
        <v>1.5</v>
      </c>
      <c r="K75" s="1190" t="s">
        <v>2221</v>
      </c>
      <c r="M75" s="286" t="s">
        <v>2322</v>
      </c>
      <c r="S75" s="1190" t="s">
        <v>2120</v>
      </c>
      <c r="AM75" s="1195" t="s">
        <v>2009</v>
      </c>
      <c r="AN75" s="1195" t="s">
        <v>811</v>
      </c>
      <c r="AR75" s="1239" t="s">
        <v>2027</v>
      </c>
      <c r="AS75" s="1244" t="s">
        <v>1966</v>
      </c>
    </row>
    <row r="76" spans="1:45" ht="12.75">
      <c r="A76" s="286" t="s">
        <v>1885</v>
      </c>
      <c r="E76" s="1223" t="s">
        <v>2161</v>
      </c>
      <c r="F76" s="286" t="str">
        <f t="shared" si="22"/>
        <v>PG76-22</v>
      </c>
      <c r="G76" s="286">
        <v>4</v>
      </c>
      <c r="H76" s="760">
        <v>20625</v>
      </c>
      <c r="I76" s="286">
        <v>2</v>
      </c>
      <c r="J76" s="286">
        <v>1.5</v>
      </c>
      <c r="K76" s="1190" t="s">
        <v>2221</v>
      </c>
      <c r="M76" s="286" t="s">
        <v>2323</v>
      </c>
      <c r="AM76" s="1195" t="s">
        <v>1180</v>
      </c>
      <c r="AN76" s="1195" t="s">
        <v>2103</v>
      </c>
      <c r="AR76" s="1239" t="s">
        <v>2026</v>
      </c>
      <c r="AS76" s="1244" t="s">
        <v>1966</v>
      </c>
    </row>
    <row r="77" spans="1:45" ht="12.75">
      <c r="A77" s="286" t="s">
        <v>1892</v>
      </c>
      <c r="E77" s="1243" t="s">
        <v>2162</v>
      </c>
      <c r="F77" s="286" t="str">
        <f t="shared" si="22"/>
        <v>PG64-22</v>
      </c>
      <c r="G77" s="286">
        <v>2</v>
      </c>
      <c r="H77" s="760">
        <v>20600</v>
      </c>
      <c r="I77" s="286">
        <v>1.5</v>
      </c>
      <c r="J77" s="286">
        <v>1</v>
      </c>
      <c r="K77" s="1190" t="s">
        <v>2221</v>
      </c>
      <c r="M77" s="286" t="s">
        <v>2324</v>
      </c>
      <c r="AM77" s="1195" t="s">
        <v>1181</v>
      </c>
      <c r="AN77" s="1195" t="s">
        <v>2105</v>
      </c>
      <c r="AR77" s="1239" t="s">
        <v>2028</v>
      </c>
      <c r="AS77" s="1244" t="s">
        <v>1967</v>
      </c>
    </row>
    <row r="78" spans="1:45" ht="12.75">
      <c r="A78" s="286" t="s">
        <v>1894</v>
      </c>
      <c r="E78" s="1243" t="s">
        <v>2162</v>
      </c>
      <c r="F78" s="286" t="str">
        <f t="shared" si="22"/>
        <v>PG64-22</v>
      </c>
      <c r="G78" s="286">
        <v>3</v>
      </c>
      <c r="H78" s="760">
        <v>20600</v>
      </c>
      <c r="I78" s="286">
        <v>1.5</v>
      </c>
      <c r="J78" s="286">
        <v>1</v>
      </c>
      <c r="K78" s="1190" t="s">
        <v>2221</v>
      </c>
      <c r="M78" s="286" t="s">
        <v>2325</v>
      </c>
      <c r="AM78" s="1195" t="s">
        <v>2489</v>
      </c>
      <c r="AN78" s="1195" t="s">
        <v>2490</v>
      </c>
      <c r="AR78" s="1239" t="s">
        <v>2029</v>
      </c>
      <c r="AS78" s="1244" t="s">
        <v>1967</v>
      </c>
    </row>
    <row r="79" spans="1:45" ht="12.75">
      <c r="A79" s="286" t="s">
        <v>1895</v>
      </c>
      <c r="E79" s="1223" t="s">
        <v>2161</v>
      </c>
      <c r="F79" s="286" t="str">
        <f t="shared" si="22"/>
        <v>PG76-22</v>
      </c>
      <c r="G79" s="286">
        <v>3</v>
      </c>
      <c r="H79" s="760">
        <v>20600</v>
      </c>
      <c r="I79" s="286">
        <v>1.5</v>
      </c>
      <c r="J79" s="286">
        <v>1</v>
      </c>
      <c r="K79" s="1190" t="s">
        <v>2221</v>
      </c>
      <c r="M79" s="286" t="s">
        <v>2326</v>
      </c>
      <c r="AM79" s="1195" t="s">
        <v>2438</v>
      </c>
      <c r="AN79" s="1195" t="s">
        <v>2104</v>
      </c>
      <c r="AR79" t="s">
        <v>2097</v>
      </c>
      <c r="AS79" s="286" t="s">
        <v>756</v>
      </c>
    </row>
    <row r="80" spans="1:45" ht="12.75">
      <c r="A80" s="286" t="s">
        <v>1896</v>
      </c>
      <c r="E80" s="1243" t="s">
        <v>2162</v>
      </c>
      <c r="F80" s="286" t="str">
        <f t="shared" si="22"/>
        <v>PG64-22</v>
      </c>
      <c r="G80" s="286">
        <v>4</v>
      </c>
      <c r="H80" s="760">
        <v>20600</v>
      </c>
      <c r="I80" s="286">
        <v>1.5</v>
      </c>
      <c r="J80" s="286">
        <v>1</v>
      </c>
      <c r="K80" s="1190" t="s">
        <v>2221</v>
      </c>
      <c r="M80" s="286" t="s">
        <v>2327</v>
      </c>
      <c r="AM80" s="1195" t="s">
        <v>1182</v>
      </c>
      <c r="AN80" s="1195" t="s">
        <v>2106</v>
      </c>
      <c r="AR80" t="s">
        <v>791</v>
      </c>
      <c r="AS80" s="286" t="s">
        <v>1966</v>
      </c>
    </row>
    <row r="81" spans="1:45" ht="12.75">
      <c r="A81" s="286" t="s">
        <v>1897</v>
      </c>
      <c r="E81" s="1223" t="s">
        <v>2161</v>
      </c>
      <c r="F81" s="286" t="str">
        <f t="shared" si="22"/>
        <v>PG76-22</v>
      </c>
      <c r="G81" s="286">
        <v>4</v>
      </c>
      <c r="H81" s="760">
        <v>20600</v>
      </c>
      <c r="I81" s="286">
        <v>1.5</v>
      </c>
      <c r="J81" s="286">
        <v>1</v>
      </c>
      <c r="K81" s="1190" t="s">
        <v>2221</v>
      </c>
      <c r="M81" s="286" t="s">
        <v>2328</v>
      </c>
      <c r="AM81" s="1195" t="s">
        <v>2573</v>
      </c>
      <c r="AN81" s="1195" t="s">
        <v>2572</v>
      </c>
      <c r="AR81" s="1341" t="s">
        <v>2443</v>
      </c>
      <c r="AS81" s="1343">
        <v>24045</v>
      </c>
    </row>
    <row r="82" spans="1:45" ht="12.75">
      <c r="A82" s="286" t="s">
        <v>1898</v>
      </c>
      <c r="E82" s="1243" t="s">
        <v>2162</v>
      </c>
      <c r="F82" s="286" t="str">
        <f t="shared" si="22"/>
        <v>PG64-22</v>
      </c>
      <c r="G82" s="286">
        <v>2</v>
      </c>
      <c r="H82" s="760">
        <v>20575</v>
      </c>
      <c r="I82" s="286">
        <v>1</v>
      </c>
      <c r="J82" s="286">
        <v>0.75</v>
      </c>
      <c r="K82" s="1190" t="s">
        <v>2221</v>
      </c>
      <c r="M82" s="286" t="s">
        <v>2329</v>
      </c>
      <c r="AM82" s="1195" t="s">
        <v>1183</v>
      </c>
      <c r="AN82" s="1195" t="s">
        <v>2107</v>
      </c>
      <c r="AR82" s="1341" t="s">
        <v>2440</v>
      </c>
      <c r="AS82" s="1342" t="s">
        <v>1969</v>
      </c>
    </row>
    <row r="83" spans="1:45" ht="12.75">
      <c r="A83" s="286" t="s">
        <v>1899</v>
      </c>
      <c r="E83" s="1243" t="s">
        <v>2162</v>
      </c>
      <c r="F83" s="286" t="str">
        <f t="shared" si="22"/>
        <v>PG64-22</v>
      </c>
      <c r="G83" s="286">
        <v>3</v>
      </c>
      <c r="H83" s="760">
        <v>20575</v>
      </c>
      <c r="I83" s="286">
        <v>1</v>
      </c>
      <c r="J83" s="286">
        <v>0.75</v>
      </c>
      <c r="K83" s="1190" t="s">
        <v>2221</v>
      </c>
      <c r="M83" s="286" t="s">
        <v>2330</v>
      </c>
      <c r="AM83" s="1195" t="s">
        <v>1184</v>
      </c>
      <c r="AN83" s="1195" t="s">
        <v>2108</v>
      </c>
      <c r="AR83" s="1341" t="s">
        <v>2442</v>
      </c>
      <c r="AS83" s="1343">
        <v>24030</v>
      </c>
    </row>
    <row r="84" spans="1:45" ht="12.75">
      <c r="A84" s="286" t="s">
        <v>1900</v>
      </c>
      <c r="E84" s="1223" t="s">
        <v>2161</v>
      </c>
      <c r="F84" s="286" t="str">
        <f t="shared" si="22"/>
        <v>PG76-22</v>
      </c>
      <c r="G84" s="286">
        <v>3</v>
      </c>
      <c r="H84" s="760">
        <v>20575</v>
      </c>
      <c r="I84" s="286">
        <v>1</v>
      </c>
      <c r="J84" s="286">
        <v>0.75</v>
      </c>
      <c r="K84" s="1190" t="s">
        <v>2221</v>
      </c>
      <c r="M84" s="286" t="s">
        <v>2331</v>
      </c>
      <c r="AM84" s="1195" t="s">
        <v>1185</v>
      </c>
      <c r="AN84" s="1195" t="s">
        <v>1641</v>
      </c>
      <c r="AR84" s="1341" t="s">
        <v>2441</v>
      </c>
      <c r="AS84" s="1343">
        <v>24033</v>
      </c>
    </row>
    <row r="85" spans="1:45" ht="12.75">
      <c r="A85" s="286" t="s">
        <v>1901</v>
      </c>
      <c r="E85" s="1243" t="s">
        <v>2162</v>
      </c>
      <c r="F85" s="286" t="str">
        <f t="shared" si="22"/>
        <v>PG64-22</v>
      </c>
      <c r="G85" s="286">
        <v>4</v>
      </c>
      <c r="H85" s="760">
        <v>20575</v>
      </c>
      <c r="I85" s="286">
        <v>1</v>
      </c>
      <c r="J85" s="286">
        <v>0.75</v>
      </c>
      <c r="K85" s="1190" t="s">
        <v>2221</v>
      </c>
      <c r="M85" s="286" t="s">
        <v>2332</v>
      </c>
      <c r="AM85" s="1195" t="s">
        <v>1186</v>
      </c>
      <c r="AN85" s="1195" t="s">
        <v>2065</v>
      </c>
      <c r="AR85" t="s">
        <v>2098</v>
      </c>
      <c r="AS85" s="286" t="s">
        <v>752</v>
      </c>
    </row>
    <row r="86" spans="1:45" ht="12.75">
      <c r="A86" s="286" t="s">
        <v>1902</v>
      </c>
      <c r="E86" s="1223" t="s">
        <v>2161</v>
      </c>
      <c r="F86" s="286" t="str">
        <f t="shared" si="22"/>
        <v>PG76-22</v>
      </c>
      <c r="G86" s="286">
        <v>4</v>
      </c>
      <c r="H86" s="760">
        <v>20575</v>
      </c>
      <c r="I86" s="286">
        <v>1</v>
      </c>
      <c r="J86" s="286">
        <v>0.75</v>
      </c>
      <c r="K86" s="1190" t="s">
        <v>2221</v>
      </c>
      <c r="M86" s="286" t="s">
        <v>2333</v>
      </c>
      <c r="AM86" s="1195" t="s">
        <v>1187</v>
      </c>
      <c r="AN86" s="1195" t="s">
        <v>1210</v>
      </c>
      <c r="AR86" s="1239" t="s">
        <v>820</v>
      </c>
      <c r="AS86" s="1240">
        <v>24035</v>
      </c>
    </row>
    <row r="87" spans="1:45" ht="12.75">
      <c r="A87" s="1190" t="s">
        <v>2189</v>
      </c>
      <c r="E87" s="1243" t="s">
        <v>2162</v>
      </c>
      <c r="F87" s="286" t="str">
        <f t="shared" si="22"/>
        <v>PG64-22</v>
      </c>
      <c r="G87" s="1190" t="s">
        <v>2124</v>
      </c>
      <c r="H87" s="760">
        <v>20500</v>
      </c>
      <c r="I87" s="286">
        <v>0.5</v>
      </c>
      <c r="J87" s="286">
        <v>0.38</v>
      </c>
      <c r="K87" s="1190" t="s">
        <v>2221</v>
      </c>
      <c r="M87" s="286" t="s">
        <v>2334</v>
      </c>
      <c r="AM87" s="1195" t="s">
        <v>1188</v>
      </c>
      <c r="AN87" s="1195" t="s">
        <v>2074</v>
      </c>
      <c r="AR87" s="1239" t="s">
        <v>2021</v>
      </c>
      <c r="AS87" s="1244" t="s">
        <v>765</v>
      </c>
    </row>
    <row r="88" spans="1:47" ht="12.75">
      <c r="A88" s="1190" t="s">
        <v>2190</v>
      </c>
      <c r="E88" s="1223" t="s">
        <v>2161</v>
      </c>
      <c r="F88" s="286" t="str">
        <f t="shared" si="22"/>
        <v>PG76-22</v>
      </c>
      <c r="G88" s="1190" t="s">
        <v>2124</v>
      </c>
      <c r="H88" s="760">
        <v>20500</v>
      </c>
      <c r="I88" s="286">
        <v>0.5</v>
      </c>
      <c r="J88" s="286">
        <v>0.38</v>
      </c>
      <c r="K88" s="1190" t="s">
        <v>2221</v>
      </c>
      <c r="M88" s="286" t="s">
        <v>2335</v>
      </c>
      <c r="O88" s="286" t="s">
        <v>2421</v>
      </c>
      <c r="P88" s="286">
        <f>COUNTA('Polish-Resistant Data'!B20:B32)</f>
        <v>0</v>
      </c>
      <c r="AM88" s="1195" t="s">
        <v>1189</v>
      </c>
      <c r="AN88" s="1195" t="s">
        <v>2079</v>
      </c>
      <c r="AR88" s="1239" t="s">
        <v>2022</v>
      </c>
      <c r="AS88" s="1244" t="s">
        <v>771</v>
      </c>
      <c r="AU88"/>
    </row>
    <row r="89" spans="1:47" ht="12.75">
      <c r="A89" s="1190" t="s">
        <v>2191</v>
      </c>
      <c r="E89" s="1243" t="s">
        <v>2162</v>
      </c>
      <c r="F89" s="286" t="str">
        <f aca="true" t="shared" si="23" ref="F89:F102">RIGHT(A89,7)</f>
        <v>PG64-22</v>
      </c>
      <c r="G89" s="1190" t="s">
        <v>2124</v>
      </c>
      <c r="H89" s="760">
        <v>20550</v>
      </c>
      <c r="I89" s="286">
        <v>0.75</v>
      </c>
      <c r="J89" s="286">
        <v>0.5</v>
      </c>
      <c r="K89" s="1190" t="s">
        <v>2221</v>
      </c>
      <c r="M89" s="286" t="s">
        <v>2336</v>
      </c>
      <c r="O89" s="286" t="s">
        <v>2422</v>
      </c>
      <c r="P89" s="286">
        <f>COUNTA('Polish-Resistant Data'!C20:C32)</f>
        <v>0</v>
      </c>
      <c r="AM89" s="1195" t="s">
        <v>1190</v>
      </c>
      <c r="AN89" s="1195" t="s">
        <v>2085</v>
      </c>
      <c r="AR89" s="1239" t="s">
        <v>2023</v>
      </c>
      <c r="AS89" s="1244" t="s">
        <v>774</v>
      </c>
      <c r="AU89"/>
    </row>
    <row r="90" spans="1:47" ht="12.75">
      <c r="A90" s="1190" t="s">
        <v>2192</v>
      </c>
      <c r="E90" s="1223" t="s">
        <v>2161</v>
      </c>
      <c r="F90" s="286" t="str">
        <f t="shared" si="23"/>
        <v>PG76-22</v>
      </c>
      <c r="G90" s="1190" t="s">
        <v>2124</v>
      </c>
      <c r="H90" s="760">
        <v>20550</v>
      </c>
      <c r="I90" s="286">
        <v>0.75</v>
      </c>
      <c r="J90" s="286">
        <v>0.5</v>
      </c>
      <c r="K90" s="1190" t="s">
        <v>2221</v>
      </c>
      <c r="M90" s="286" t="s">
        <v>2337</v>
      </c>
      <c r="O90" s="286" t="s">
        <v>2423</v>
      </c>
      <c r="P90" s="286">
        <f>COUNTA('Polish-Resistant Data'!D20:D32)</f>
        <v>0</v>
      </c>
      <c r="AM90" s="1195" t="s">
        <v>1191</v>
      </c>
      <c r="AN90" s="1195" t="s">
        <v>2071</v>
      </c>
      <c r="AR90" s="1239" t="s">
        <v>2024</v>
      </c>
      <c r="AS90" s="1244" t="s">
        <v>783</v>
      </c>
      <c r="AU90"/>
    </row>
    <row r="91" spans="1:47" ht="12.75">
      <c r="A91" s="1190" t="s">
        <v>2193</v>
      </c>
      <c r="E91" s="1243" t="s">
        <v>2162</v>
      </c>
      <c r="F91" s="286" t="str">
        <f t="shared" si="23"/>
        <v>PG64-22</v>
      </c>
      <c r="G91" s="1190" t="s">
        <v>2124</v>
      </c>
      <c r="H91" s="760">
        <v>20575</v>
      </c>
      <c r="I91" s="286">
        <v>1</v>
      </c>
      <c r="J91" s="286">
        <v>0.75</v>
      </c>
      <c r="K91" s="1190" t="s">
        <v>2221</v>
      </c>
      <c r="M91" s="286" t="s">
        <v>2338</v>
      </c>
      <c r="O91" s="286" t="s">
        <v>2424</v>
      </c>
      <c r="P91" s="286">
        <f>COUNTA('Polish-Resistant Data'!E20:E32)</f>
        <v>0</v>
      </c>
      <c r="AM91" s="1195" t="s">
        <v>2569</v>
      </c>
      <c r="AN91" s="1195" t="s">
        <v>2570</v>
      </c>
      <c r="AR91" s="1239" t="s">
        <v>2025</v>
      </c>
      <c r="AS91" s="1244" t="s">
        <v>1966</v>
      </c>
      <c r="AU91"/>
    </row>
    <row r="92" spans="1:47" ht="12.75">
      <c r="A92" s="1190" t="s">
        <v>2194</v>
      </c>
      <c r="E92" s="1223" t="s">
        <v>2161</v>
      </c>
      <c r="F92" s="286" t="str">
        <f t="shared" si="23"/>
        <v>PG76-22</v>
      </c>
      <c r="G92" s="1190" t="s">
        <v>2124</v>
      </c>
      <c r="H92" s="760">
        <v>20575</v>
      </c>
      <c r="I92" s="286">
        <v>1</v>
      </c>
      <c r="J92" s="286">
        <v>0.75</v>
      </c>
      <c r="K92" s="1190" t="s">
        <v>2221</v>
      </c>
      <c r="M92" s="286" t="s">
        <v>2339</v>
      </c>
      <c r="O92" s="286" t="s">
        <v>2425</v>
      </c>
      <c r="P92" s="286">
        <f>COUNTA('Polish-Resistant Data'!F20:F32)</f>
        <v>0</v>
      </c>
      <c r="AM92" s="1195" t="s">
        <v>2580</v>
      </c>
      <c r="AN92" s="1195" t="s">
        <v>2447</v>
      </c>
      <c r="AR92" s="1245" t="s">
        <v>2099</v>
      </c>
      <c r="AS92" s="1203" t="s">
        <v>763</v>
      </c>
      <c r="AU92"/>
    </row>
    <row r="93" spans="1:47" ht="12.75">
      <c r="A93" s="1190" t="s">
        <v>2195</v>
      </c>
      <c r="E93" s="1243" t="s">
        <v>2162</v>
      </c>
      <c r="F93" s="286" t="str">
        <f t="shared" si="23"/>
        <v>PG64-22</v>
      </c>
      <c r="G93" s="1190" t="s">
        <v>2124</v>
      </c>
      <c r="H93" s="760">
        <v>20600</v>
      </c>
      <c r="I93" s="286">
        <v>1.5</v>
      </c>
      <c r="J93" s="286">
        <v>1</v>
      </c>
      <c r="K93" s="1190" t="s">
        <v>2221</v>
      </c>
      <c r="M93" s="286" t="s">
        <v>2340</v>
      </c>
      <c r="O93" s="286" t="s">
        <v>2426</v>
      </c>
      <c r="P93" s="286">
        <f>COUNTA('Polish-Resistant Data'!G20:G32)</f>
        <v>0</v>
      </c>
      <c r="AM93" s="1195" t="s">
        <v>2581</v>
      </c>
      <c r="AN93" s="1195" t="s">
        <v>2579</v>
      </c>
      <c r="AR93" s="1341" t="s">
        <v>2501</v>
      </c>
      <c r="AS93" s="1343" t="s">
        <v>765</v>
      </c>
      <c r="AU93"/>
    </row>
    <row r="94" spans="1:47" ht="12.75">
      <c r="A94" s="1190" t="s">
        <v>2196</v>
      </c>
      <c r="E94" s="1223" t="s">
        <v>2161</v>
      </c>
      <c r="F94" s="286" t="str">
        <f t="shared" si="23"/>
        <v>PG76-22</v>
      </c>
      <c r="G94" s="1190" t="s">
        <v>2124</v>
      </c>
      <c r="H94" s="760">
        <v>20600</v>
      </c>
      <c r="I94" s="286">
        <v>1.5</v>
      </c>
      <c r="J94" s="286">
        <v>1</v>
      </c>
      <c r="K94" s="1190" t="s">
        <v>2221</v>
      </c>
      <c r="M94" s="286" t="s">
        <v>2341</v>
      </c>
      <c r="AM94" s="1195" t="s">
        <v>2582</v>
      </c>
      <c r="AN94" s="1195" t="s">
        <v>620</v>
      </c>
      <c r="AR94" s="1341" t="s">
        <v>2502</v>
      </c>
      <c r="AS94" s="1343" t="s">
        <v>766</v>
      </c>
      <c r="AU94"/>
    </row>
    <row r="95" spans="1:47" ht="12.75">
      <c r="A95" s="1190" t="s">
        <v>2197</v>
      </c>
      <c r="E95" s="1243" t="s">
        <v>2162</v>
      </c>
      <c r="F95" s="286" t="str">
        <f t="shared" si="23"/>
        <v>PG64-22</v>
      </c>
      <c r="G95" s="1190" t="s">
        <v>2124</v>
      </c>
      <c r="H95" s="760">
        <v>20625</v>
      </c>
      <c r="I95" s="286">
        <v>2</v>
      </c>
      <c r="J95" s="286">
        <v>1.5</v>
      </c>
      <c r="K95" s="1190" t="s">
        <v>2221</v>
      </c>
      <c r="M95" s="286" t="s">
        <v>2342</v>
      </c>
      <c r="AM95" s="1195" t="s">
        <v>1192</v>
      </c>
      <c r="AN95" s="1195" t="s">
        <v>2070</v>
      </c>
      <c r="AR95" s="1341" t="s">
        <v>2503</v>
      </c>
      <c r="AS95" s="1342" t="s">
        <v>768</v>
      </c>
      <c r="AU95"/>
    </row>
    <row r="96" spans="1:47" ht="12.75">
      <c r="A96" s="1190" t="s">
        <v>2198</v>
      </c>
      <c r="E96" s="1223" t="s">
        <v>2161</v>
      </c>
      <c r="F96" s="286" t="str">
        <f t="shared" si="23"/>
        <v>PG76-22</v>
      </c>
      <c r="G96" s="1190" t="s">
        <v>2124</v>
      </c>
      <c r="H96" s="760">
        <v>20625</v>
      </c>
      <c r="I96" s="286">
        <v>2</v>
      </c>
      <c r="J96" s="286">
        <v>1.5</v>
      </c>
      <c r="K96" s="1190" t="s">
        <v>2221</v>
      </c>
      <c r="M96" s="286" t="s">
        <v>2343</v>
      </c>
      <c r="O96" s="1331">
        <f>SUM('Recycle Data'!K12:K15)</f>
        <v>0</v>
      </c>
      <c r="P96" s="1331" t="e">
        <f>'Recycle Data'!K12/O96</f>
        <v>#DIV/0!</v>
      </c>
      <c r="Q96" s="1331">
        <f>IF('Recycle Data'!L12="","",('Recycle Data'!L12*P96))</f>
      </c>
      <c r="R96"/>
      <c r="AM96" s="1195" t="s">
        <v>2491</v>
      </c>
      <c r="AN96" s="1195" t="s">
        <v>2492</v>
      </c>
      <c r="AR96" s="1341" t="s">
        <v>2504</v>
      </c>
      <c r="AS96" s="1343" t="s">
        <v>769</v>
      </c>
      <c r="AU96"/>
    </row>
    <row r="97" spans="1:47" ht="12.75">
      <c r="A97" s="1190" t="s">
        <v>2183</v>
      </c>
      <c r="E97" s="1243" t="s">
        <v>2162</v>
      </c>
      <c r="F97" s="286" t="str">
        <f t="shared" si="23"/>
        <v>PG64-22</v>
      </c>
      <c r="G97" s="1190" t="s">
        <v>2124</v>
      </c>
      <c r="H97" s="760">
        <v>20575</v>
      </c>
      <c r="I97" s="286">
        <v>1</v>
      </c>
      <c r="J97" s="286">
        <v>0.75</v>
      </c>
      <c r="K97" s="1190" t="s">
        <v>2221</v>
      </c>
      <c r="M97" s="286" t="s">
        <v>2344</v>
      </c>
      <c r="O97"/>
      <c r="P97" s="1331" t="e">
        <f>'Recycle Data'!K13/O96</f>
        <v>#DIV/0!</v>
      </c>
      <c r="Q97" s="1331">
        <f>IF('Recycle Data'!L13="","",('Recycle Data'!L13*P97))</f>
      </c>
      <c r="R97"/>
      <c r="AM97" s="1195" t="s">
        <v>1194</v>
      </c>
      <c r="AN97" s="1195" t="s">
        <v>2066</v>
      </c>
      <c r="AR97" s="1341" t="s">
        <v>2505</v>
      </c>
      <c r="AS97" s="1342" t="s">
        <v>771</v>
      </c>
      <c r="AU97"/>
    </row>
    <row r="98" spans="1:47" ht="12.75">
      <c r="A98" s="1190" t="s">
        <v>2184</v>
      </c>
      <c r="E98" s="1223" t="s">
        <v>2161</v>
      </c>
      <c r="F98" s="286" t="str">
        <f t="shared" si="23"/>
        <v>PG76-22</v>
      </c>
      <c r="G98" s="1190" t="s">
        <v>2124</v>
      </c>
      <c r="H98" s="760">
        <v>20575</v>
      </c>
      <c r="I98" s="286">
        <v>1</v>
      </c>
      <c r="J98" s="286">
        <v>0.75</v>
      </c>
      <c r="K98" s="1190" t="s">
        <v>2221</v>
      </c>
      <c r="M98" s="286" t="s">
        <v>2345</v>
      </c>
      <c r="O98"/>
      <c r="P98" s="1331" t="e">
        <f>'Recycle Data'!K14/O96</f>
        <v>#DIV/0!</v>
      </c>
      <c r="Q98" s="1331">
        <f>IF('Recycle Data'!L14="","",('Recycle Data'!L14*P98))</f>
      </c>
      <c r="R98"/>
      <c r="AM98" s="1195" t="s">
        <v>1195</v>
      </c>
      <c r="AN98" s="1195" t="s">
        <v>1326</v>
      </c>
      <c r="AR98" s="1341" t="s">
        <v>2506</v>
      </c>
      <c r="AS98" s="1343" t="s">
        <v>772</v>
      </c>
      <c r="AU98"/>
    </row>
    <row r="99" spans="1:47" ht="12.75">
      <c r="A99" s="1190" t="s">
        <v>2185</v>
      </c>
      <c r="E99" s="1243" t="s">
        <v>2162</v>
      </c>
      <c r="F99" s="286" t="str">
        <f t="shared" si="23"/>
        <v>PG64-22</v>
      </c>
      <c r="G99" s="1190" t="s">
        <v>2124</v>
      </c>
      <c r="H99" s="760">
        <v>20600</v>
      </c>
      <c r="I99" s="286">
        <v>1.5</v>
      </c>
      <c r="J99" s="286">
        <v>1</v>
      </c>
      <c r="K99" s="1190" t="s">
        <v>2221</v>
      </c>
      <c r="M99" s="286" t="s">
        <v>2346</v>
      </c>
      <c r="O99"/>
      <c r="P99" s="1331" t="e">
        <f>'Recycle Data'!K15/O96</f>
        <v>#DIV/0!</v>
      </c>
      <c r="Q99" s="1331">
        <f>IF('Recycle Data'!L15="","",('Recycle Data'!L15*P99))</f>
      </c>
      <c r="R99" s="1331">
        <f>IF(SUM(Q96:Q99)=0,"",SUM(Q96:Q99))</f>
      </c>
      <c r="AM99" s="1195" t="s">
        <v>2584</v>
      </c>
      <c r="AN99" s="1195" t="s">
        <v>2439</v>
      </c>
      <c r="AR99" s="1341" t="s">
        <v>2507</v>
      </c>
      <c r="AS99" s="1342" t="s">
        <v>774</v>
      </c>
      <c r="AU99"/>
    </row>
    <row r="100" spans="1:47" ht="12.75">
      <c r="A100" s="1190" t="s">
        <v>2186</v>
      </c>
      <c r="E100" s="1223" t="s">
        <v>2161</v>
      </c>
      <c r="F100" s="286" t="str">
        <f t="shared" si="23"/>
        <v>PG76-22</v>
      </c>
      <c r="G100" s="1190" t="s">
        <v>2124</v>
      </c>
      <c r="H100" s="760">
        <v>20600</v>
      </c>
      <c r="I100" s="286">
        <v>1.5</v>
      </c>
      <c r="J100" s="286">
        <v>1</v>
      </c>
      <c r="K100" s="1190" t="s">
        <v>2221</v>
      </c>
      <c r="M100" s="286" t="s">
        <v>2347</v>
      </c>
      <c r="O100"/>
      <c r="P100"/>
      <c r="Q100"/>
      <c r="R100"/>
      <c r="AM100" s="1195" t="s">
        <v>2585</v>
      </c>
      <c r="AN100" s="1195" t="s">
        <v>2583</v>
      </c>
      <c r="AR100" s="1341" t="s">
        <v>2508</v>
      </c>
      <c r="AS100" s="1343" t="s">
        <v>775</v>
      </c>
      <c r="AU100"/>
    </row>
    <row r="101" spans="1:47" ht="12.75">
      <c r="A101" s="1190" t="s">
        <v>2187</v>
      </c>
      <c r="E101" s="1243" t="s">
        <v>2162</v>
      </c>
      <c r="F101" s="286" t="str">
        <f t="shared" si="23"/>
        <v>PG64-22</v>
      </c>
      <c r="G101" s="1190" t="s">
        <v>2124</v>
      </c>
      <c r="H101" s="760">
        <v>20625</v>
      </c>
      <c r="I101" s="286">
        <v>2</v>
      </c>
      <c r="J101" s="286">
        <v>1.5</v>
      </c>
      <c r="K101" s="1190" t="s">
        <v>2221</v>
      </c>
      <c r="M101" s="286" t="s">
        <v>2348</v>
      </c>
      <c r="O101"/>
      <c r="P101"/>
      <c r="Q101"/>
      <c r="R101"/>
      <c r="AM101" s="1195" t="s">
        <v>1197</v>
      </c>
      <c r="AN101" s="1195" t="s">
        <v>1327</v>
      </c>
      <c r="AR101" s="1341" t="s">
        <v>2509</v>
      </c>
      <c r="AS101" s="1342" t="s">
        <v>783</v>
      </c>
      <c r="AU101"/>
    </row>
    <row r="102" spans="1:47" ht="12.75">
      <c r="A102" s="1190" t="s">
        <v>2188</v>
      </c>
      <c r="E102" s="1223" t="s">
        <v>2161</v>
      </c>
      <c r="F102" s="286" t="str">
        <f t="shared" si="23"/>
        <v>PG76-22</v>
      </c>
      <c r="G102" s="1190" t="s">
        <v>2124</v>
      </c>
      <c r="H102" s="760">
        <v>20625</v>
      </c>
      <c r="I102" s="286">
        <v>2</v>
      </c>
      <c r="J102" s="286">
        <v>1.5</v>
      </c>
      <c r="K102" s="1190" t="s">
        <v>2221</v>
      </c>
      <c r="M102" s="286" t="s">
        <v>2349</v>
      </c>
      <c r="O102" s="1331">
        <f>SUM('Recycle Data'!K12:K15)</f>
        <v>0</v>
      </c>
      <c r="P102" s="1331" t="e">
        <f>'Recycle Data'!K12/O102</f>
        <v>#DIV/0!</v>
      </c>
      <c r="Q102" s="1339">
        <f>IF(OR('Recycle Data'!L12="",'Recycle Data'!O12=""),"",('Recycle Data'!O12*P102))</f>
      </c>
      <c r="R102" s="1339"/>
      <c r="AM102" s="1195" t="s">
        <v>1147</v>
      </c>
      <c r="AN102" s="1195" t="s">
        <v>2480</v>
      </c>
      <c r="AR102" s="1341" t="s">
        <v>2510</v>
      </c>
      <c r="AS102" s="1343" t="s">
        <v>784</v>
      </c>
      <c r="AU102"/>
    </row>
    <row r="103" spans="1:47" ht="12.75">
      <c r="A103" s="1190" t="s">
        <v>2150</v>
      </c>
      <c r="E103" s="1243" t="s">
        <v>2162</v>
      </c>
      <c r="F103" s="1190" t="s">
        <v>2109</v>
      </c>
      <c r="G103" s="1190" t="s">
        <v>2124</v>
      </c>
      <c r="H103" s="286">
        <v>20225</v>
      </c>
      <c r="I103" s="286">
        <v>0.5</v>
      </c>
      <c r="J103" s="286">
        <v>0.38</v>
      </c>
      <c r="K103" s="1190" t="s">
        <v>2221</v>
      </c>
      <c r="M103" s="286" t="s">
        <v>2350</v>
      </c>
      <c r="O103"/>
      <c r="P103" s="1331" t="e">
        <f>'Recycle Data'!K13/O102</f>
        <v>#DIV/0!</v>
      </c>
      <c r="Q103" s="1339">
        <f>IF(OR('Recycle Data'!L13="",'Recycle Data'!O13=""),"",('Recycle Data'!O13*P103))</f>
      </c>
      <c r="R103" s="1339"/>
      <c r="AM103" s="1195" t="s">
        <v>1198</v>
      </c>
      <c r="AN103" s="1195" t="s">
        <v>1328</v>
      </c>
      <c r="AR103" s="1342" t="s">
        <v>2511</v>
      </c>
      <c r="AS103" s="1343" t="s">
        <v>1964</v>
      </c>
      <c r="AU103"/>
    </row>
    <row r="104" spans="1:47" ht="12.75">
      <c r="A104" s="1190" t="s">
        <v>2151</v>
      </c>
      <c r="E104" s="1243" t="s">
        <v>2162</v>
      </c>
      <c r="F104" s="1190" t="s">
        <v>2109</v>
      </c>
      <c r="G104" s="1190" t="s">
        <v>2124</v>
      </c>
      <c r="H104" s="286">
        <v>20225</v>
      </c>
      <c r="I104" s="286">
        <v>0.75</v>
      </c>
      <c r="J104" s="286">
        <v>0.5</v>
      </c>
      <c r="K104" s="1190" t="s">
        <v>2221</v>
      </c>
      <c r="M104" s="286" t="s">
        <v>2351</v>
      </c>
      <c r="O104"/>
      <c r="P104" s="1331" t="e">
        <f>'Recycle Data'!K14/O102</f>
        <v>#DIV/0!</v>
      </c>
      <c r="Q104" s="1339">
        <f>IF(OR('Recycle Data'!L14="",'Recycle Data'!O14=""),"",('Recycle Data'!O14*P104))</f>
      </c>
      <c r="R104" s="1339"/>
      <c r="AM104" s="1195" t="s">
        <v>1148</v>
      </c>
      <c r="AN104" s="1195" t="s">
        <v>2481</v>
      </c>
      <c r="AR104" s="1342" t="s">
        <v>2512</v>
      </c>
      <c r="AS104" s="1343" t="s">
        <v>1965</v>
      </c>
      <c r="AU104"/>
    </row>
    <row r="105" spans="1:47" ht="12.75">
      <c r="A105" s="1190" t="s">
        <v>2152</v>
      </c>
      <c r="E105" s="1243" t="s">
        <v>2162</v>
      </c>
      <c r="F105" s="1190" t="s">
        <v>2109</v>
      </c>
      <c r="G105" s="1190" t="s">
        <v>2124</v>
      </c>
      <c r="H105" s="286">
        <v>20225</v>
      </c>
      <c r="I105" s="286">
        <v>1</v>
      </c>
      <c r="J105" s="286">
        <v>0.75</v>
      </c>
      <c r="K105" s="1190" t="s">
        <v>2221</v>
      </c>
      <c r="M105" s="286" t="s">
        <v>2352</v>
      </c>
      <c r="O105"/>
      <c r="P105" s="1331" t="e">
        <f>'Recycle Data'!K15/O102</f>
        <v>#DIV/0!</v>
      </c>
      <c r="Q105" s="1339">
        <f>IF(OR('Recycle Data'!L15="",'Recycle Data'!O15=""),"",('Recycle Data'!O15*P105))</f>
      </c>
      <c r="R105" s="1339">
        <f>IF(SUM(Q102:Q105)=0,"",SUM(Q102:Q105))</f>
      </c>
      <c r="AM105" s="1195" t="s">
        <v>2007</v>
      </c>
      <c r="AN105" s="1195" t="s">
        <v>2006</v>
      </c>
      <c r="AR105" s="1341" t="s">
        <v>2513</v>
      </c>
      <c r="AS105" s="1342" t="s">
        <v>1966</v>
      </c>
      <c r="AU105"/>
    </row>
    <row r="106" spans="1:47" ht="12.75">
      <c r="A106" s="1190" t="s">
        <v>2153</v>
      </c>
      <c r="E106" s="1243" t="s">
        <v>2162</v>
      </c>
      <c r="F106" s="1190" t="s">
        <v>2109</v>
      </c>
      <c r="G106" s="1190" t="s">
        <v>2124</v>
      </c>
      <c r="H106" s="286">
        <v>20225</v>
      </c>
      <c r="I106" s="286">
        <v>1.5</v>
      </c>
      <c r="J106" s="286">
        <v>1</v>
      </c>
      <c r="K106" s="1190" t="s">
        <v>2221</v>
      </c>
      <c r="M106" s="286" t="s">
        <v>2353</v>
      </c>
      <c r="O106"/>
      <c r="P106"/>
      <c r="Q106"/>
      <c r="R106"/>
      <c r="AM106" s="1195" t="s">
        <v>1199</v>
      </c>
      <c r="AN106" s="1195" t="s">
        <v>1329</v>
      </c>
      <c r="AR106" s="1341" t="s">
        <v>2514</v>
      </c>
      <c r="AS106" s="1343" t="s">
        <v>1967</v>
      </c>
      <c r="AU106"/>
    </row>
    <row r="107" spans="1:47" ht="12.75">
      <c r="A107" s="1190" t="s">
        <v>2154</v>
      </c>
      <c r="E107" s="1243" t="s">
        <v>2162</v>
      </c>
      <c r="F107" s="1190" t="s">
        <v>2109</v>
      </c>
      <c r="G107" s="1190" t="s">
        <v>2124</v>
      </c>
      <c r="H107" s="286">
        <v>20225</v>
      </c>
      <c r="I107" s="286">
        <v>2</v>
      </c>
      <c r="J107" s="286">
        <v>1.5</v>
      </c>
      <c r="K107" s="1190" t="s">
        <v>2221</v>
      </c>
      <c r="M107" s="286" t="s">
        <v>2354</v>
      </c>
      <c r="O107"/>
      <c r="P107"/>
      <c r="Q107"/>
      <c r="R107"/>
      <c r="AM107" s="1195" t="s">
        <v>2478</v>
      </c>
      <c r="AN107" s="1195" t="s">
        <v>2479</v>
      </c>
      <c r="AR107"/>
      <c r="AU107"/>
    </row>
    <row r="108" spans="1:47" ht="12.75">
      <c r="A108" s="286" t="s">
        <v>1903</v>
      </c>
      <c r="E108" s="1243" t="s">
        <v>2162</v>
      </c>
      <c r="F108" s="286" t="str">
        <f>RIGHT(A108,7)</f>
        <v>PG64-22</v>
      </c>
      <c r="G108" s="1190" t="s">
        <v>2124</v>
      </c>
      <c r="H108" s="286">
        <v>20050</v>
      </c>
      <c r="I108" s="286">
        <v>0.5</v>
      </c>
      <c r="J108" s="1190" t="s">
        <v>2217</v>
      </c>
      <c r="K108" s="1190" t="s">
        <v>2221</v>
      </c>
      <c r="L108" s="1190" t="s">
        <v>997</v>
      </c>
      <c r="M108" s="286" t="s">
        <v>2355</v>
      </c>
      <c r="O108" s="1331">
        <f>SUM('Recycle Data'!K12:K15)</f>
        <v>0</v>
      </c>
      <c r="P108" s="1331" t="e">
        <f>'Recycle Data'!K12/O108</f>
        <v>#DIV/0!</v>
      </c>
      <c r="Q108" s="1331">
        <f>IF(OR('Recycle Data'!L12="",'Recycle Data'!P12=""),"",('Recycle Data'!P12*P108))</f>
      </c>
      <c r="R108" s="1331"/>
      <c r="AM108" s="1195" t="s">
        <v>1200</v>
      </c>
      <c r="AN108" s="1195" t="s">
        <v>2477</v>
      </c>
      <c r="AR108"/>
      <c r="AU108"/>
    </row>
    <row r="109" spans="1:47" ht="12.75">
      <c r="A109" s="286" t="s">
        <v>1904</v>
      </c>
      <c r="E109" s="1223" t="s">
        <v>2161</v>
      </c>
      <c r="F109" s="286" t="str">
        <f>RIGHT(A109,7)</f>
        <v>PG76-22</v>
      </c>
      <c r="G109" s="1190" t="s">
        <v>2124</v>
      </c>
      <c r="H109" s="286">
        <v>20050</v>
      </c>
      <c r="I109" s="286">
        <v>0.5</v>
      </c>
      <c r="J109" s="1190" t="s">
        <v>2217</v>
      </c>
      <c r="K109" s="1190" t="s">
        <v>2221</v>
      </c>
      <c r="L109" s="1190" t="s">
        <v>997</v>
      </c>
      <c r="M109" s="286" t="s">
        <v>2356</v>
      </c>
      <c r="O109"/>
      <c r="P109" s="1331" t="e">
        <f>'Recycle Data'!K13/O108</f>
        <v>#DIV/0!</v>
      </c>
      <c r="Q109" s="1331">
        <f>IF(OR('Recycle Data'!L13="",'Recycle Data'!P13=""),"",('Recycle Data'!P13*P109))</f>
      </c>
      <c r="R109" s="1331"/>
      <c r="AM109" s="1195" t="s">
        <v>2493</v>
      </c>
      <c r="AN109" s="1195" t="s">
        <v>2494</v>
      </c>
      <c r="AQ109" s="1235"/>
      <c r="AR109"/>
      <c r="AU109"/>
    </row>
    <row r="110" spans="1:47" ht="12.75">
      <c r="A110" s="286" t="s">
        <v>1905</v>
      </c>
      <c r="E110" s="1243" t="s">
        <v>2162</v>
      </c>
      <c r="F110" s="1190" t="s">
        <v>2109</v>
      </c>
      <c r="G110" s="1190" t="s">
        <v>2124</v>
      </c>
      <c r="H110" s="286">
        <v>20075</v>
      </c>
      <c r="I110" s="286">
        <v>0.5</v>
      </c>
      <c r="J110" s="1190" t="s">
        <v>2218</v>
      </c>
      <c r="K110" s="1190" t="s">
        <v>2221</v>
      </c>
      <c r="M110" s="286" t="s">
        <v>2357</v>
      </c>
      <c r="O110"/>
      <c r="P110" s="1331" t="e">
        <f>'Recycle Data'!K14/O108</f>
        <v>#DIV/0!</v>
      </c>
      <c r="Q110" s="1331">
        <f>IF(OR('Recycle Data'!L14="",'Recycle Data'!P14=""),"",('Recycle Data'!P14*P110))</f>
      </c>
      <c r="R110" s="1331"/>
      <c r="AM110" s="1195" t="s">
        <v>2475</v>
      </c>
      <c r="AN110" s="1195" t="s">
        <v>2476</v>
      </c>
      <c r="AR110"/>
      <c r="AU110"/>
    </row>
    <row r="111" spans="1:47" ht="12.75">
      <c r="A111" s="286" t="s">
        <v>1906</v>
      </c>
      <c r="E111" s="1243" t="s">
        <v>2162</v>
      </c>
      <c r="F111" s="286" t="str">
        <f aca="true" t="shared" si="24" ref="F111:F118">RIGHT(A111,7)</f>
        <v>PG64-22</v>
      </c>
      <c r="G111" s="286">
        <v>2</v>
      </c>
      <c r="H111" s="760">
        <v>20550</v>
      </c>
      <c r="I111" s="286">
        <v>0.75</v>
      </c>
      <c r="J111" s="286">
        <v>0.5</v>
      </c>
      <c r="K111" s="1190" t="s">
        <v>2221</v>
      </c>
      <c r="M111" s="286" t="s">
        <v>2358</v>
      </c>
      <c r="O111"/>
      <c r="P111" s="1331" t="e">
        <f>'Recycle Data'!#REF!/O108</f>
        <v>#REF!</v>
      </c>
      <c r="Q111" s="1331">
        <f>IF('Recycle Data'!L15="","",('Recycle Data'!P15*P111))</f>
      </c>
      <c r="R111" s="1331">
        <f>IF(SUM(Q108:Q111)=0,"",SUM(Q108:Q111))</f>
      </c>
      <c r="AM111" s="1195" t="s">
        <v>1196</v>
      </c>
      <c r="AN111" s="1195" t="s">
        <v>1330</v>
      </c>
      <c r="AR111"/>
      <c r="AU111"/>
    </row>
    <row r="112" spans="1:47" ht="12.75">
      <c r="A112" s="286" t="s">
        <v>1907</v>
      </c>
      <c r="E112" s="1243" t="s">
        <v>2162</v>
      </c>
      <c r="F112" s="286" t="str">
        <f t="shared" si="24"/>
        <v>PG64-22</v>
      </c>
      <c r="G112" s="286">
        <v>3</v>
      </c>
      <c r="H112" s="760">
        <v>20550</v>
      </c>
      <c r="I112" s="286">
        <v>0.75</v>
      </c>
      <c r="J112" s="286">
        <v>0.5</v>
      </c>
      <c r="K112" s="1190" t="s">
        <v>2221</v>
      </c>
      <c r="M112" s="286" t="s">
        <v>2359</v>
      </c>
      <c r="O112"/>
      <c r="P112"/>
      <c r="Q112"/>
      <c r="R112"/>
      <c r="AM112" s="1195" t="s">
        <v>1202</v>
      </c>
      <c r="AN112" s="1195" t="s">
        <v>2075</v>
      </c>
      <c r="AR112"/>
      <c r="AU112"/>
    </row>
    <row r="113" spans="1:47" ht="13.5" thickBot="1">
      <c r="A113" s="286" t="s">
        <v>1908</v>
      </c>
      <c r="E113" s="1223" t="s">
        <v>2161</v>
      </c>
      <c r="F113" s="286" t="str">
        <f t="shared" si="24"/>
        <v>PG76-22</v>
      </c>
      <c r="G113" s="286">
        <v>3</v>
      </c>
      <c r="H113" s="760">
        <v>20550</v>
      </c>
      <c r="I113" s="286">
        <v>0.75</v>
      </c>
      <c r="J113" s="286">
        <v>0.5</v>
      </c>
      <c r="K113" s="1190" t="s">
        <v>2221</v>
      </c>
      <c r="M113" s="286" t="s">
        <v>2360</v>
      </c>
      <c r="O113"/>
      <c r="P113"/>
      <c r="Q113"/>
      <c r="R113"/>
      <c r="AM113" s="1195" t="s">
        <v>1203</v>
      </c>
      <c r="AN113" s="1195" t="s">
        <v>796</v>
      </c>
      <c r="AR113"/>
      <c r="AU113"/>
    </row>
    <row r="114" spans="1:47" ht="14.25" thickBot="1" thickTop="1">
      <c r="A114" s="286" t="s">
        <v>1909</v>
      </c>
      <c r="E114" s="1243" t="s">
        <v>2162</v>
      </c>
      <c r="F114" s="286" t="str">
        <f t="shared" si="24"/>
        <v>PG64-22</v>
      </c>
      <c r="G114" s="286">
        <v>4</v>
      </c>
      <c r="H114" s="760">
        <v>20550</v>
      </c>
      <c r="I114" s="286">
        <v>0.75</v>
      </c>
      <c r="J114" s="286">
        <v>0.5</v>
      </c>
      <c r="K114" s="1190" t="s">
        <v>2221</v>
      </c>
      <c r="M114" s="286" t="s">
        <v>2361</v>
      </c>
      <c r="O114" s="1332" t="s">
        <v>2401</v>
      </c>
      <c r="P114" s="1333"/>
      <c r="Q114" s="1334"/>
      <c r="R114"/>
      <c r="AM114" s="1197" t="s">
        <v>1204</v>
      </c>
      <c r="AN114" s="1197" t="s">
        <v>797</v>
      </c>
      <c r="AR114"/>
      <c r="AU114"/>
    </row>
    <row r="115" spans="1:47" ht="14.25" thickBot="1" thickTop="1">
      <c r="A115" s="286" t="s">
        <v>1911</v>
      </c>
      <c r="E115" s="1223" t="s">
        <v>2161</v>
      </c>
      <c r="F115" s="286" t="str">
        <f t="shared" si="24"/>
        <v>PG76-22</v>
      </c>
      <c r="G115" s="286">
        <v>4</v>
      </c>
      <c r="H115" s="760">
        <v>20550</v>
      </c>
      <c r="I115" s="286">
        <v>0.75</v>
      </c>
      <c r="J115" s="286">
        <v>0.5</v>
      </c>
      <c r="K115" s="1190" t="s">
        <v>2221</v>
      </c>
      <c r="M115" s="286" t="s">
        <v>2362</v>
      </c>
      <c r="O115" s="1335" t="s">
        <v>2397</v>
      </c>
      <c r="P115" s="1336"/>
      <c r="Q115" s="534">
        <f>R99</f>
      </c>
      <c r="R115"/>
      <c r="AM115" s="1197" t="s">
        <v>2588</v>
      </c>
      <c r="AN115" s="1197" t="s">
        <v>2587</v>
      </c>
      <c r="AR115"/>
      <c r="AU115"/>
    </row>
    <row r="116" spans="1:47" ht="14.25" thickBot="1" thickTop="1">
      <c r="A116" s="286" t="s">
        <v>1912</v>
      </c>
      <c r="E116" s="1243" t="s">
        <v>2162</v>
      </c>
      <c r="F116" s="286" t="str">
        <f t="shared" si="24"/>
        <v>PG64-22</v>
      </c>
      <c r="G116" s="286">
        <v>2</v>
      </c>
      <c r="H116" s="760">
        <v>20500</v>
      </c>
      <c r="I116" s="286">
        <v>0.5</v>
      </c>
      <c r="J116" s="286">
        <v>0.38</v>
      </c>
      <c r="K116" s="1190" t="s">
        <v>2221</v>
      </c>
      <c r="M116" s="286" t="s">
        <v>2363</v>
      </c>
      <c r="O116" s="530" t="s">
        <v>2398</v>
      </c>
      <c r="P116" s="531"/>
      <c r="Q116" s="534">
        <f>'Recycle Data'!J24</f>
      </c>
      <c r="R116"/>
      <c r="AM116" s="1197" t="s">
        <v>1205</v>
      </c>
      <c r="AN116" s="1197" t="s">
        <v>800</v>
      </c>
      <c r="AR116"/>
      <c r="AU116"/>
    </row>
    <row r="117" spans="1:47" ht="14.25" thickBot="1" thickTop="1">
      <c r="A117" s="286" t="s">
        <v>1913</v>
      </c>
      <c r="E117" s="1243" t="s">
        <v>2162</v>
      </c>
      <c r="F117" s="286" t="str">
        <f t="shared" si="24"/>
        <v>PG64-22</v>
      </c>
      <c r="G117" s="286">
        <v>2</v>
      </c>
      <c r="H117" s="760">
        <v>20500</v>
      </c>
      <c r="I117" s="286">
        <v>0.5</v>
      </c>
      <c r="J117" s="286">
        <v>0.38</v>
      </c>
      <c r="K117" s="1190" t="s">
        <v>2221</v>
      </c>
      <c r="L117" s="1190" t="s">
        <v>998</v>
      </c>
      <c r="M117" s="286" t="s">
        <v>2364</v>
      </c>
      <c r="O117" s="532" t="s">
        <v>2399</v>
      </c>
      <c r="P117" s="533"/>
      <c r="Q117" s="534">
        <f>'Recycle Data'!J23</f>
      </c>
      <c r="R117"/>
      <c r="AM117" s="1197" t="s">
        <v>1131</v>
      </c>
      <c r="AN117" s="1197" t="s">
        <v>2495</v>
      </c>
      <c r="AR117"/>
      <c r="AU117"/>
    </row>
    <row r="118" spans="1:47" ht="14.25" thickBot="1" thickTop="1">
      <c r="A118" s="286" t="s">
        <v>1914</v>
      </c>
      <c r="E118" s="1243" t="s">
        <v>2162</v>
      </c>
      <c r="F118" s="286" t="str">
        <f t="shared" si="24"/>
        <v>PG64-22</v>
      </c>
      <c r="G118" s="286">
        <v>2</v>
      </c>
      <c r="H118" s="760">
        <v>20525</v>
      </c>
      <c r="I118" s="286">
        <v>0.75</v>
      </c>
      <c r="J118" s="286">
        <v>0.5</v>
      </c>
      <c r="K118" s="1190" t="s">
        <v>2221</v>
      </c>
      <c r="M118" s="286" t="s">
        <v>2365</v>
      </c>
      <c r="O118" s="532" t="s">
        <v>2400</v>
      </c>
      <c r="P118" s="533"/>
      <c r="Q118" s="534">
        <f>IF(OR(Q116="",Q117=""),"",(Q116+Q117))</f>
      </c>
      <c r="R118"/>
      <c r="AM118" s="1197" t="s">
        <v>1164</v>
      </c>
      <c r="AN118" s="1197" t="s">
        <v>1331</v>
      </c>
      <c r="AR118"/>
      <c r="AU118"/>
    </row>
    <row r="119" spans="1:47" ht="13.5" thickTop="1">
      <c r="A119" s="286" t="s">
        <v>2457</v>
      </c>
      <c r="E119" s="1223" t="s">
        <v>2161</v>
      </c>
      <c r="F119" s="286" t="str">
        <f aca="true" t="shared" si="25" ref="F119:F124">RIGHT(A119,7)</f>
        <v>PG76-22</v>
      </c>
      <c r="G119" s="286">
        <v>2</v>
      </c>
      <c r="H119" s="760">
        <v>20500</v>
      </c>
      <c r="I119" s="286">
        <v>0.5</v>
      </c>
      <c r="J119" s="286">
        <v>0.38</v>
      </c>
      <c r="K119" s="1190" t="s">
        <v>2221</v>
      </c>
      <c r="L119" s="286" t="s">
        <v>998</v>
      </c>
      <c r="M119" s="1342" t="s">
        <v>2458</v>
      </c>
      <c r="AM119" s="1197" t="s">
        <v>1206</v>
      </c>
      <c r="AN119" s="1197" t="s">
        <v>814</v>
      </c>
      <c r="AR119"/>
      <c r="AU119"/>
    </row>
    <row r="120" spans="1:47" ht="12.75">
      <c r="A120" s="286" t="s">
        <v>1915</v>
      </c>
      <c r="E120" s="1243" t="s">
        <v>2162</v>
      </c>
      <c r="F120" s="286" t="str">
        <f t="shared" si="25"/>
        <v>PG64-22</v>
      </c>
      <c r="G120" s="286">
        <v>3</v>
      </c>
      <c r="H120" s="760">
        <v>20525</v>
      </c>
      <c r="I120" s="286">
        <v>0.75</v>
      </c>
      <c r="J120" s="286">
        <v>0.5</v>
      </c>
      <c r="K120" s="1190" t="s">
        <v>2221</v>
      </c>
      <c r="M120" s="286" t="s">
        <v>2366</v>
      </c>
      <c r="AM120" s="1197" t="s">
        <v>1207</v>
      </c>
      <c r="AN120" s="1197" t="s">
        <v>799</v>
      </c>
      <c r="AR120"/>
      <c r="AU120"/>
    </row>
    <row r="121" spans="1:47" ht="12.75">
      <c r="A121" s="286" t="s">
        <v>1916</v>
      </c>
      <c r="E121" s="1243" t="s">
        <v>2162</v>
      </c>
      <c r="F121" s="286" t="str">
        <f t="shared" si="25"/>
        <v>PG64-22</v>
      </c>
      <c r="G121" s="286">
        <v>3</v>
      </c>
      <c r="H121" s="760">
        <v>20525</v>
      </c>
      <c r="I121" s="286">
        <v>0.75</v>
      </c>
      <c r="J121" s="286">
        <v>0.5</v>
      </c>
      <c r="K121" s="1190" t="s">
        <v>2221</v>
      </c>
      <c r="L121" s="1190" t="s">
        <v>998</v>
      </c>
      <c r="M121" s="286" t="s">
        <v>2367</v>
      </c>
      <c r="AM121" s="1197" t="s">
        <v>2496</v>
      </c>
      <c r="AN121" s="1197" t="s">
        <v>2497</v>
      </c>
      <c r="AR121"/>
      <c r="AU121"/>
    </row>
    <row r="122" spans="1:47" ht="12.75">
      <c r="A122" s="286" t="s">
        <v>2567</v>
      </c>
      <c r="E122" s="1243" t="s">
        <v>2161</v>
      </c>
      <c r="F122" s="286" t="str">
        <f t="shared" si="25"/>
        <v>PG76-22</v>
      </c>
      <c r="G122" s="286">
        <v>3</v>
      </c>
      <c r="H122" s="286">
        <v>20525</v>
      </c>
      <c r="I122" s="286">
        <v>0.75</v>
      </c>
      <c r="J122" s="286">
        <v>0.5</v>
      </c>
      <c r="K122" s="286" t="s">
        <v>2221</v>
      </c>
      <c r="L122" s="286" t="s">
        <v>998</v>
      </c>
      <c r="M122" s="286" t="s">
        <v>2568</v>
      </c>
      <c r="AM122" s="1197" t="s">
        <v>2456</v>
      </c>
      <c r="AN122" s="1197" t="s">
        <v>2454</v>
      </c>
      <c r="AR122"/>
      <c r="AU122"/>
    </row>
    <row r="123" spans="1:47" ht="12.75">
      <c r="A123" s="286" t="s">
        <v>1917</v>
      </c>
      <c r="E123" s="1243" t="s">
        <v>2162</v>
      </c>
      <c r="F123" s="286" t="str">
        <f t="shared" si="25"/>
        <v>PG64-22</v>
      </c>
      <c r="G123" s="286">
        <v>4</v>
      </c>
      <c r="H123" s="760">
        <v>20525</v>
      </c>
      <c r="I123" s="286">
        <v>0.75</v>
      </c>
      <c r="J123" s="286">
        <v>0.5</v>
      </c>
      <c r="K123" s="1190" t="s">
        <v>2221</v>
      </c>
      <c r="L123" s="1190" t="s">
        <v>998</v>
      </c>
      <c r="M123" s="286" t="s">
        <v>2368</v>
      </c>
      <c r="AM123" s="1197"/>
      <c r="AN123" s="1197"/>
      <c r="AR123"/>
      <c r="AU123"/>
    </row>
    <row r="124" spans="1:47" ht="12.75">
      <c r="A124" s="286" t="s">
        <v>1921</v>
      </c>
      <c r="E124" s="1223" t="s">
        <v>2161</v>
      </c>
      <c r="F124" s="286" t="str">
        <f t="shared" si="25"/>
        <v>PG76-22</v>
      </c>
      <c r="G124" s="286">
        <v>4</v>
      </c>
      <c r="H124" s="760">
        <v>20525</v>
      </c>
      <c r="I124" s="286">
        <v>0.75</v>
      </c>
      <c r="J124" s="286">
        <v>0.5</v>
      </c>
      <c r="K124" s="1190" t="s">
        <v>2221</v>
      </c>
      <c r="L124" s="1190" t="s">
        <v>998</v>
      </c>
      <c r="M124" s="286" t="s">
        <v>2369</v>
      </c>
      <c r="AR124"/>
      <c r="AU124"/>
    </row>
    <row r="125" spans="1:44" ht="12.75">
      <c r="A125" s="286" t="s">
        <v>1922</v>
      </c>
      <c r="E125" s="1243" t="s">
        <v>2162</v>
      </c>
      <c r="F125" s="286" t="str">
        <f aca="true" t="shared" si="26" ref="F125:F135">RIGHT(A125,7)</f>
        <v>PG64-22</v>
      </c>
      <c r="G125" s="286">
        <v>3</v>
      </c>
      <c r="H125" s="760">
        <v>20525</v>
      </c>
      <c r="I125" s="286">
        <v>0.75</v>
      </c>
      <c r="J125" s="286">
        <v>0.5</v>
      </c>
      <c r="K125" s="1190" t="s">
        <v>2221</v>
      </c>
      <c r="L125" s="1190" t="s">
        <v>997</v>
      </c>
      <c r="M125" s="286" t="s">
        <v>2370</v>
      </c>
      <c r="AR125"/>
    </row>
    <row r="126" spans="1:13" ht="12.75">
      <c r="A126" s="286" t="s">
        <v>1923</v>
      </c>
      <c r="E126" s="1223" t="s">
        <v>2161</v>
      </c>
      <c r="F126" s="286" t="str">
        <f t="shared" si="26"/>
        <v>PG76-22</v>
      </c>
      <c r="G126" s="286">
        <v>3</v>
      </c>
      <c r="H126" s="760">
        <v>20525</v>
      </c>
      <c r="I126" s="286">
        <v>0.75</v>
      </c>
      <c r="J126" s="286">
        <v>0.5</v>
      </c>
      <c r="K126" s="1190" t="s">
        <v>2221</v>
      </c>
      <c r="L126" s="1190" t="s">
        <v>997</v>
      </c>
      <c r="M126" s="286" t="s">
        <v>2371</v>
      </c>
    </row>
    <row r="127" spans="1:13" ht="12.75">
      <c r="A127" s="286" t="s">
        <v>1924</v>
      </c>
      <c r="E127" s="1243" t="s">
        <v>2162</v>
      </c>
      <c r="F127" s="286" t="str">
        <f t="shared" si="26"/>
        <v>PG64-22</v>
      </c>
      <c r="G127" s="286">
        <v>4</v>
      </c>
      <c r="H127" s="760">
        <v>20525</v>
      </c>
      <c r="I127" s="286">
        <v>0.75</v>
      </c>
      <c r="J127" s="286">
        <v>0.5</v>
      </c>
      <c r="K127" s="1190" t="s">
        <v>2221</v>
      </c>
      <c r="L127" s="1190" t="s">
        <v>997</v>
      </c>
      <c r="M127" s="286" t="s">
        <v>2372</v>
      </c>
    </row>
    <row r="128" spans="1:13" ht="12.75">
      <c r="A128" s="286" t="s">
        <v>2515</v>
      </c>
      <c r="E128" s="1243" t="s">
        <v>2162</v>
      </c>
      <c r="F128" s="286" t="s">
        <v>2109</v>
      </c>
      <c r="G128" s="286">
        <v>3</v>
      </c>
      <c r="H128" s="760">
        <v>20500</v>
      </c>
      <c r="I128" s="286">
        <v>0.5</v>
      </c>
      <c r="J128" s="286">
        <v>0.38</v>
      </c>
      <c r="K128" s="1190" t="s">
        <v>2221</v>
      </c>
      <c r="L128" s="1190" t="s">
        <v>997</v>
      </c>
      <c r="M128" s="1342" t="s">
        <v>2520</v>
      </c>
    </row>
    <row r="129" spans="1:13" ht="12.75">
      <c r="A129" s="286" t="s">
        <v>1925</v>
      </c>
      <c r="E129" s="1223" t="s">
        <v>2161</v>
      </c>
      <c r="F129" s="286" t="str">
        <f t="shared" si="26"/>
        <v>PG76-22</v>
      </c>
      <c r="G129" s="286">
        <v>4</v>
      </c>
      <c r="H129" s="760">
        <v>20525</v>
      </c>
      <c r="I129" s="286">
        <v>0.75</v>
      </c>
      <c r="J129" s="286">
        <v>0.5</v>
      </c>
      <c r="K129" s="1190" t="s">
        <v>2221</v>
      </c>
      <c r="L129" s="1190" t="s">
        <v>997</v>
      </c>
      <c r="M129" s="286" t="s">
        <v>2373</v>
      </c>
    </row>
    <row r="130" spans="1:13" ht="12.75">
      <c r="A130" s="286" t="s">
        <v>1926</v>
      </c>
      <c r="E130" s="1223" t="s">
        <v>2161</v>
      </c>
      <c r="F130" s="286" t="str">
        <f t="shared" si="26"/>
        <v>PG76-22</v>
      </c>
      <c r="G130" s="286">
        <v>3</v>
      </c>
      <c r="H130" s="760">
        <v>20500</v>
      </c>
      <c r="I130" s="286">
        <v>0.5</v>
      </c>
      <c r="J130" s="286">
        <v>0.38</v>
      </c>
      <c r="K130" s="1190" t="s">
        <v>2221</v>
      </c>
      <c r="L130" s="1190" t="s">
        <v>997</v>
      </c>
      <c r="M130" s="286" t="s">
        <v>2374</v>
      </c>
    </row>
    <row r="131" spans="1:13" ht="12.75">
      <c r="A131" s="286" t="s">
        <v>1927</v>
      </c>
      <c r="E131" s="1223" t="s">
        <v>2161</v>
      </c>
      <c r="F131" s="286" t="str">
        <f t="shared" si="26"/>
        <v>PG76-22</v>
      </c>
      <c r="G131" s="286">
        <v>4</v>
      </c>
      <c r="H131" s="760">
        <v>20500</v>
      </c>
      <c r="I131" s="286">
        <v>0.5</v>
      </c>
      <c r="J131" s="286">
        <v>0.38</v>
      </c>
      <c r="K131" s="1190" t="s">
        <v>2221</v>
      </c>
      <c r="L131" s="1190" t="s">
        <v>998</v>
      </c>
      <c r="M131" s="286" t="s">
        <v>2375</v>
      </c>
    </row>
    <row r="132" spans="1:13" ht="12.75">
      <c r="A132" s="286" t="s">
        <v>1928</v>
      </c>
      <c r="E132" s="1243" t="s">
        <v>2162</v>
      </c>
      <c r="F132" s="286" t="str">
        <f t="shared" si="26"/>
        <v>PG64-22</v>
      </c>
      <c r="G132" s="286">
        <v>3</v>
      </c>
      <c r="H132" s="760">
        <v>20500</v>
      </c>
      <c r="I132" s="286">
        <v>0.5</v>
      </c>
      <c r="J132" s="286">
        <v>0.38</v>
      </c>
      <c r="K132" s="1190" t="s">
        <v>2221</v>
      </c>
      <c r="M132" s="286" t="s">
        <v>2376</v>
      </c>
    </row>
    <row r="133" spans="1:13" ht="12.75">
      <c r="A133" s="286" t="s">
        <v>1929</v>
      </c>
      <c r="E133" s="1223" t="s">
        <v>2161</v>
      </c>
      <c r="F133" s="286" t="str">
        <f t="shared" si="26"/>
        <v>PG76-22</v>
      </c>
      <c r="G133" s="286">
        <v>2</v>
      </c>
      <c r="H133" s="760">
        <v>20500</v>
      </c>
      <c r="I133" s="286">
        <v>0.5</v>
      </c>
      <c r="J133" s="286">
        <v>0.38</v>
      </c>
      <c r="K133" s="1190" t="s">
        <v>2221</v>
      </c>
      <c r="M133" s="286" t="s">
        <v>2377</v>
      </c>
    </row>
    <row r="134" spans="1:13" ht="12.75">
      <c r="A134" s="286" t="s">
        <v>1930</v>
      </c>
      <c r="E134" s="1223" t="s">
        <v>2161</v>
      </c>
      <c r="F134" s="286" t="str">
        <f t="shared" si="26"/>
        <v>PG76-22</v>
      </c>
      <c r="G134" s="286">
        <v>4</v>
      </c>
      <c r="H134" s="760">
        <v>20500</v>
      </c>
      <c r="I134" s="286">
        <v>0.5</v>
      </c>
      <c r="J134" s="286">
        <v>0.38</v>
      </c>
      <c r="K134" s="1190" t="s">
        <v>2221</v>
      </c>
      <c r="L134" s="1190" t="s">
        <v>997</v>
      </c>
      <c r="M134" s="286" t="s">
        <v>2378</v>
      </c>
    </row>
    <row r="135" spans="1:13" ht="12.75">
      <c r="A135" s="1190" t="s">
        <v>1951</v>
      </c>
      <c r="E135" s="1243" t="s">
        <v>2162</v>
      </c>
      <c r="F135" s="286" t="str">
        <f t="shared" si="26"/>
        <v>PG64-22</v>
      </c>
      <c r="G135" s="1190" t="s">
        <v>2124</v>
      </c>
      <c r="H135" s="286">
        <v>20100</v>
      </c>
      <c r="I135" s="286">
        <v>0.25</v>
      </c>
      <c r="J135" s="1190" t="s">
        <v>2211</v>
      </c>
      <c r="K135" s="1190" t="s">
        <v>2221</v>
      </c>
      <c r="L135" s="1190" t="s">
        <v>997</v>
      </c>
      <c r="M135" s="286" t="s">
        <v>2379</v>
      </c>
    </row>
    <row r="136" spans="1:17" ht="12.75">
      <c r="A136" s="286" t="s">
        <v>2008</v>
      </c>
      <c r="E136" s="1243" t="s">
        <v>2162</v>
      </c>
      <c r="F136" s="1190" t="s">
        <v>2109</v>
      </c>
      <c r="G136" s="286">
        <v>3</v>
      </c>
      <c r="H136" s="286">
        <v>20500</v>
      </c>
      <c r="I136" s="286">
        <v>0.5</v>
      </c>
      <c r="J136" s="286">
        <v>0.38</v>
      </c>
      <c r="K136" s="1190" t="s">
        <v>2221</v>
      </c>
      <c r="L136" s="1190" t="s">
        <v>997</v>
      </c>
      <c r="M136" s="1224" t="s">
        <v>744</v>
      </c>
      <c r="Q136" s="1344"/>
    </row>
    <row r="137" spans="1:13" ht="12.75">
      <c r="A137" s="286" t="s">
        <v>2516</v>
      </c>
      <c r="E137" s="1243" t="s">
        <v>2162</v>
      </c>
      <c r="F137" s="1190" t="s">
        <v>2109</v>
      </c>
      <c r="G137" s="286">
        <v>3</v>
      </c>
      <c r="H137" s="760">
        <v>20500</v>
      </c>
      <c r="I137" s="286">
        <v>0.5</v>
      </c>
      <c r="J137" s="286">
        <v>0.38</v>
      </c>
      <c r="K137" s="1190" t="s">
        <v>2221</v>
      </c>
      <c r="L137" s="1190" t="s">
        <v>998</v>
      </c>
      <c r="M137" s="1224" t="s">
        <v>2521</v>
      </c>
    </row>
    <row r="138" spans="1:13" ht="12.75">
      <c r="A138" s="286" t="s">
        <v>2460</v>
      </c>
      <c r="E138" s="1223" t="s">
        <v>2161</v>
      </c>
      <c r="F138" s="286" t="s">
        <v>2116</v>
      </c>
      <c r="G138" s="286">
        <v>3</v>
      </c>
      <c r="H138" s="760">
        <v>20500</v>
      </c>
      <c r="I138" s="286">
        <v>0.5</v>
      </c>
      <c r="J138" s="1199">
        <v>0.38</v>
      </c>
      <c r="K138" s="1190" t="s">
        <v>2221</v>
      </c>
      <c r="L138" s="1190" t="s">
        <v>998</v>
      </c>
      <c r="M138" s="1342" t="s">
        <v>2459</v>
      </c>
    </row>
    <row r="139" spans="1:13" ht="12.75">
      <c r="A139" s="1190" t="s">
        <v>822</v>
      </c>
      <c r="E139" s="1243" t="s">
        <v>2162</v>
      </c>
      <c r="F139" s="1190" t="s">
        <v>2109</v>
      </c>
      <c r="G139" s="286">
        <v>3</v>
      </c>
      <c r="H139" s="286">
        <v>20500</v>
      </c>
      <c r="I139" s="286">
        <v>0.5</v>
      </c>
      <c r="J139" s="286">
        <v>0.38</v>
      </c>
      <c r="K139" s="1190" t="s">
        <v>2221</v>
      </c>
      <c r="L139" s="1190" t="s">
        <v>998</v>
      </c>
      <c r="M139" s="1224" t="s">
        <v>745</v>
      </c>
    </row>
    <row r="140" spans="1:13" ht="12.75">
      <c r="A140" s="1190" t="s">
        <v>2517</v>
      </c>
      <c r="E140" s="1243" t="s">
        <v>2161</v>
      </c>
      <c r="F140" s="1190" t="s">
        <v>2116</v>
      </c>
      <c r="G140" s="286">
        <v>3</v>
      </c>
      <c r="H140" s="286">
        <v>20500</v>
      </c>
      <c r="I140" s="286">
        <v>0.5</v>
      </c>
      <c r="J140" s="286">
        <v>0.38</v>
      </c>
      <c r="K140" s="1190" t="s">
        <v>2221</v>
      </c>
      <c r="L140" s="1190"/>
      <c r="M140" s="1224" t="s">
        <v>2522</v>
      </c>
    </row>
    <row r="141" spans="1:13" ht="12.75">
      <c r="A141" s="286" t="s">
        <v>1931</v>
      </c>
      <c r="E141" s="1243" t="s">
        <v>2162</v>
      </c>
      <c r="F141" s="1190" t="s">
        <v>2109</v>
      </c>
      <c r="G141" s="1190" t="s">
        <v>2124</v>
      </c>
      <c r="H141" s="286">
        <v>23025</v>
      </c>
      <c r="I141" s="286">
        <v>0.5</v>
      </c>
      <c r="J141" s="286">
        <v>0.38</v>
      </c>
      <c r="K141" s="1190" t="s">
        <v>2221</v>
      </c>
      <c r="M141" s="286" t="s">
        <v>2380</v>
      </c>
    </row>
    <row r="142" spans="1:13" ht="12.75">
      <c r="A142" s="286" t="s">
        <v>1932</v>
      </c>
      <c r="E142" s="1243" t="s">
        <v>2162</v>
      </c>
      <c r="F142" s="1190" t="s">
        <v>2109</v>
      </c>
      <c r="G142" s="1190" t="s">
        <v>2124</v>
      </c>
      <c r="H142" s="286">
        <v>23050</v>
      </c>
      <c r="I142" s="286">
        <v>0.5</v>
      </c>
      <c r="J142" s="286">
        <v>0.38</v>
      </c>
      <c r="K142" s="1190" t="s">
        <v>2221</v>
      </c>
      <c r="M142" s="286" t="s">
        <v>2381</v>
      </c>
    </row>
    <row r="143" spans="1:13" ht="12.75">
      <c r="A143" s="286" t="s">
        <v>1933</v>
      </c>
      <c r="E143" s="1243" t="s">
        <v>2162</v>
      </c>
      <c r="F143" s="1190" t="s">
        <v>2109</v>
      </c>
      <c r="G143" s="1190" t="s">
        <v>2124</v>
      </c>
      <c r="H143" s="286">
        <v>23050</v>
      </c>
      <c r="I143" s="286">
        <v>0.5</v>
      </c>
      <c r="J143" s="286">
        <v>0.38</v>
      </c>
      <c r="K143" s="1190" t="s">
        <v>2221</v>
      </c>
      <c r="M143" s="286" t="s">
        <v>2382</v>
      </c>
    </row>
    <row r="144" spans="1:13" ht="12.75">
      <c r="A144" s="286" t="s">
        <v>1936</v>
      </c>
      <c r="E144" s="1243" t="s">
        <v>2162</v>
      </c>
      <c r="F144" s="1190" t="s">
        <v>2109</v>
      </c>
      <c r="G144" s="1190" t="s">
        <v>2124</v>
      </c>
      <c r="H144" s="286">
        <v>23050</v>
      </c>
      <c r="I144" s="286">
        <v>0.5</v>
      </c>
      <c r="J144" s="286">
        <v>0.38</v>
      </c>
      <c r="K144" s="1190" t="s">
        <v>2221</v>
      </c>
      <c r="M144" s="286" t="s">
        <v>2383</v>
      </c>
    </row>
    <row r="145" spans="1:13" ht="12.75">
      <c r="A145" s="286" t="s">
        <v>1937</v>
      </c>
      <c r="E145" s="1243" t="s">
        <v>2162</v>
      </c>
      <c r="F145" s="1190" t="s">
        <v>2109</v>
      </c>
      <c r="G145" s="1190" t="s">
        <v>2124</v>
      </c>
      <c r="H145" s="286">
        <v>23050</v>
      </c>
      <c r="I145" s="286">
        <v>0.5</v>
      </c>
      <c r="J145" s="286">
        <v>0.38</v>
      </c>
      <c r="K145" s="1190" t="s">
        <v>2221</v>
      </c>
      <c r="M145" s="286" t="s">
        <v>2384</v>
      </c>
    </row>
    <row r="146" spans="1:13" ht="12.75">
      <c r="A146" s="286" t="s">
        <v>1938</v>
      </c>
      <c r="E146" s="1243" t="s">
        <v>2162</v>
      </c>
      <c r="F146" s="1190" t="s">
        <v>2109</v>
      </c>
      <c r="G146" s="1190" t="s">
        <v>2124</v>
      </c>
      <c r="H146" s="286">
        <v>23050</v>
      </c>
      <c r="I146" s="286">
        <v>0.5</v>
      </c>
      <c r="J146" s="286">
        <v>0.38</v>
      </c>
      <c r="K146" s="1190" t="s">
        <v>2221</v>
      </c>
      <c r="M146" s="286" t="s">
        <v>2385</v>
      </c>
    </row>
    <row r="147" spans="1:13" ht="12.75">
      <c r="A147" s="286" t="s">
        <v>1939</v>
      </c>
      <c r="E147" s="1243" t="s">
        <v>2162</v>
      </c>
      <c r="F147" s="1190" t="s">
        <v>2109</v>
      </c>
      <c r="G147" s="1190" t="s">
        <v>2124</v>
      </c>
      <c r="H147" s="286">
        <v>23050</v>
      </c>
      <c r="I147" s="286">
        <v>0.5</v>
      </c>
      <c r="J147" s="286">
        <v>0.38</v>
      </c>
      <c r="K147" s="1190" t="s">
        <v>2221</v>
      </c>
      <c r="M147" s="286" t="s">
        <v>2386</v>
      </c>
    </row>
    <row r="148" spans="1:13" ht="12.75">
      <c r="A148" s="286" t="s">
        <v>1940</v>
      </c>
      <c r="E148" s="1243" t="s">
        <v>2162</v>
      </c>
      <c r="F148" s="1190" t="s">
        <v>2109</v>
      </c>
      <c r="G148" s="1190" t="s">
        <v>2124</v>
      </c>
      <c r="H148" s="286">
        <v>23050</v>
      </c>
      <c r="I148" s="286">
        <v>0.5</v>
      </c>
      <c r="J148" s="286">
        <v>0.38</v>
      </c>
      <c r="K148" s="1190" t="s">
        <v>2221</v>
      </c>
      <c r="M148" s="286" t="s">
        <v>2387</v>
      </c>
    </row>
    <row r="149" spans="1:13" ht="12.75">
      <c r="A149" s="286" t="s">
        <v>1941</v>
      </c>
      <c r="E149" s="1243" t="s">
        <v>2162</v>
      </c>
      <c r="F149" s="1190" t="s">
        <v>2109</v>
      </c>
      <c r="G149" s="1190" t="s">
        <v>2124</v>
      </c>
      <c r="H149" s="286">
        <v>23050</v>
      </c>
      <c r="I149" s="286">
        <v>0.5</v>
      </c>
      <c r="J149" s="286">
        <v>0.38</v>
      </c>
      <c r="K149" s="1190" t="s">
        <v>2221</v>
      </c>
      <c r="M149" s="286" t="s">
        <v>2388</v>
      </c>
    </row>
    <row r="150" spans="1:13" ht="12.75">
      <c r="A150" s="286" t="s">
        <v>1942</v>
      </c>
      <c r="E150" s="1243" t="s">
        <v>2162</v>
      </c>
      <c r="F150" s="1190" t="s">
        <v>2109</v>
      </c>
      <c r="G150" s="1190" t="s">
        <v>2124</v>
      </c>
      <c r="H150" s="286">
        <v>23050</v>
      </c>
      <c r="I150" s="286">
        <v>0.5</v>
      </c>
      <c r="J150" s="286">
        <v>0.38</v>
      </c>
      <c r="K150" s="1190" t="s">
        <v>2221</v>
      </c>
      <c r="M150" s="286" t="s">
        <v>2389</v>
      </c>
    </row>
    <row r="151" spans="1:13" ht="12.75">
      <c r="A151" s="286" t="s">
        <v>1943</v>
      </c>
      <c r="E151" s="1243" t="s">
        <v>2162</v>
      </c>
      <c r="F151" s="1190" t="s">
        <v>2109</v>
      </c>
      <c r="G151" s="1190" t="s">
        <v>2124</v>
      </c>
      <c r="H151" s="286">
        <v>23050</v>
      </c>
      <c r="I151" s="286">
        <v>0.5</v>
      </c>
      <c r="J151" s="286">
        <v>0.38</v>
      </c>
      <c r="K151" s="1190" t="s">
        <v>2221</v>
      </c>
      <c r="M151" s="286" t="s">
        <v>2390</v>
      </c>
    </row>
    <row r="152" spans="1:13" ht="12.75">
      <c r="A152" s="286" t="s">
        <v>1944</v>
      </c>
      <c r="E152" s="1243" t="s">
        <v>2162</v>
      </c>
      <c r="F152" s="1190" t="s">
        <v>2109</v>
      </c>
      <c r="G152" s="1190" t="s">
        <v>2124</v>
      </c>
      <c r="H152" s="286">
        <v>23050</v>
      </c>
      <c r="I152" s="286">
        <v>0.5</v>
      </c>
      <c r="J152" s="286">
        <v>0.38</v>
      </c>
      <c r="K152" s="1190" t="s">
        <v>2221</v>
      </c>
      <c r="M152" s="286" t="s">
        <v>2391</v>
      </c>
    </row>
    <row r="153" spans="1:13" ht="12.75">
      <c r="A153" s="286" t="s">
        <v>1945</v>
      </c>
      <c r="E153" s="1243" t="s">
        <v>2162</v>
      </c>
      <c r="F153" s="1190" t="s">
        <v>2109</v>
      </c>
      <c r="G153" s="1190" t="s">
        <v>2124</v>
      </c>
      <c r="H153" s="286">
        <v>23050</v>
      </c>
      <c r="I153" s="286">
        <v>0.5</v>
      </c>
      <c r="J153" s="286">
        <v>0.38</v>
      </c>
      <c r="K153" s="1190" t="s">
        <v>2221</v>
      </c>
      <c r="M153" s="286" t="s">
        <v>0</v>
      </c>
    </row>
    <row r="154" spans="1:13" ht="12.75">
      <c r="A154" s="286" t="s">
        <v>1880</v>
      </c>
      <c r="E154" s="1205" t="s">
        <v>2124</v>
      </c>
      <c r="F154" s="1190" t="s">
        <v>2120</v>
      </c>
      <c r="G154" s="1190" t="s">
        <v>2124</v>
      </c>
      <c r="H154" s="286">
        <v>22100</v>
      </c>
      <c r="I154" s="286">
        <v>0.5</v>
      </c>
      <c r="J154" s="286">
        <v>0.38</v>
      </c>
      <c r="K154" s="1190" t="s">
        <v>2221</v>
      </c>
      <c r="M154" s="286" t="s">
        <v>1</v>
      </c>
    </row>
    <row r="155" spans="1:13" ht="12.75">
      <c r="A155" s="286" t="s">
        <v>2155</v>
      </c>
      <c r="E155" s="1223" t="s">
        <v>2161</v>
      </c>
      <c r="F155" s="286" t="s">
        <v>2116</v>
      </c>
      <c r="G155" s="286">
        <v>2</v>
      </c>
      <c r="H155" s="286">
        <v>20575</v>
      </c>
      <c r="I155" s="286">
        <v>1</v>
      </c>
      <c r="J155" s="1199">
        <v>0.75</v>
      </c>
      <c r="K155" s="1190" t="s">
        <v>2221</v>
      </c>
      <c r="M155" s="1224" t="s">
        <v>2168</v>
      </c>
    </row>
    <row r="156" spans="1:13" ht="12.75">
      <c r="A156" s="286" t="s">
        <v>2156</v>
      </c>
      <c r="E156" s="1223" t="s">
        <v>2161</v>
      </c>
      <c r="F156" s="286" t="s">
        <v>2116</v>
      </c>
      <c r="G156" s="286">
        <v>2</v>
      </c>
      <c r="H156" s="760">
        <v>20600</v>
      </c>
      <c r="I156" s="286">
        <v>1.5</v>
      </c>
      <c r="J156" s="1199">
        <v>1</v>
      </c>
      <c r="K156" s="1190" t="s">
        <v>2221</v>
      </c>
      <c r="M156" s="286" t="s">
        <v>2165</v>
      </c>
    </row>
    <row r="157" spans="1:13" ht="12.75">
      <c r="A157" s="286" t="s">
        <v>2157</v>
      </c>
      <c r="E157" s="1223" t="s">
        <v>2162</v>
      </c>
      <c r="F157" s="1190" t="s">
        <v>2109</v>
      </c>
      <c r="G157" s="286">
        <v>2</v>
      </c>
      <c r="H157" s="760">
        <v>20500</v>
      </c>
      <c r="I157" s="286">
        <v>0.5</v>
      </c>
      <c r="J157" s="1199">
        <v>0.38</v>
      </c>
      <c r="K157" s="1190" t="s">
        <v>2221</v>
      </c>
      <c r="M157" s="286" t="s">
        <v>2166</v>
      </c>
    </row>
    <row r="158" spans="1:13" ht="12.75">
      <c r="A158" s="286" t="s">
        <v>2158</v>
      </c>
      <c r="E158" s="1223" t="s">
        <v>2162</v>
      </c>
      <c r="F158" s="286" t="s">
        <v>2109</v>
      </c>
      <c r="G158" s="286">
        <v>2</v>
      </c>
      <c r="H158" s="286">
        <v>20490</v>
      </c>
      <c r="I158" s="286">
        <v>0.38</v>
      </c>
      <c r="J158" s="1199" t="s">
        <v>2163</v>
      </c>
      <c r="K158" s="1190" t="s">
        <v>2221</v>
      </c>
      <c r="M158" s="286" t="s">
        <v>2167</v>
      </c>
    </row>
    <row r="159" spans="1:13" ht="12.75">
      <c r="A159" s="1190" t="s">
        <v>742</v>
      </c>
      <c r="E159" s="1243" t="s">
        <v>2162</v>
      </c>
      <c r="F159" s="1190" t="s">
        <v>2109</v>
      </c>
      <c r="G159" s="286">
        <v>3</v>
      </c>
      <c r="H159" s="286">
        <v>20500</v>
      </c>
      <c r="I159" s="286">
        <v>0.5</v>
      </c>
      <c r="J159" s="286">
        <v>0.38</v>
      </c>
      <c r="K159" s="1190" t="s">
        <v>2221</v>
      </c>
      <c r="L159" s="1190" t="s">
        <v>997</v>
      </c>
      <c r="M159" s="1224" t="s">
        <v>743</v>
      </c>
    </row>
    <row r="160" spans="1:13" ht="12.75">
      <c r="A160" s="286" t="s">
        <v>2159</v>
      </c>
      <c r="E160" s="1223" t="s">
        <v>2161</v>
      </c>
      <c r="F160" s="286" t="s">
        <v>2116</v>
      </c>
      <c r="G160" s="286">
        <v>3</v>
      </c>
      <c r="H160" s="760">
        <v>20500</v>
      </c>
      <c r="I160" s="286">
        <v>0.5</v>
      </c>
      <c r="J160" s="1199">
        <v>0.38</v>
      </c>
      <c r="K160" s="1190" t="s">
        <v>2221</v>
      </c>
      <c r="L160" s="1190" t="s">
        <v>998</v>
      </c>
      <c r="M160" s="1224" t="s">
        <v>2164</v>
      </c>
    </row>
    <row r="161" spans="1:13" ht="12.75">
      <c r="A161" s="286" t="s">
        <v>2010</v>
      </c>
      <c r="E161" s="1243" t="s">
        <v>2162</v>
      </c>
      <c r="F161" s="1190" t="s">
        <v>2109</v>
      </c>
      <c r="G161" s="286">
        <v>4</v>
      </c>
      <c r="H161" s="286">
        <v>20500</v>
      </c>
      <c r="I161" s="286">
        <v>0.5</v>
      </c>
      <c r="J161" s="286">
        <v>0.38</v>
      </c>
      <c r="K161" s="1190" t="s">
        <v>2221</v>
      </c>
      <c r="L161" s="1190" t="s">
        <v>997</v>
      </c>
      <c r="M161" s="1224" t="s">
        <v>746</v>
      </c>
    </row>
    <row r="162" spans="1:13" ht="12.75">
      <c r="A162" s="286" t="s">
        <v>2011</v>
      </c>
      <c r="E162" s="1243" t="s">
        <v>2162</v>
      </c>
      <c r="F162" s="1190" t="s">
        <v>2109</v>
      </c>
      <c r="G162" s="286">
        <v>4</v>
      </c>
      <c r="H162" s="286">
        <v>20500</v>
      </c>
      <c r="I162" s="286">
        <v>0.5</v>
      </c>
      <c r="J162" s="286">
        <v>0.38</v>
      </c>
      <c r="K162" s="1190" t="s">
        <v>2221</v>
      </c>
      <c r="L162" s="1190" t="s">
        <v>998</v>
      </c>
      <c r="M162" s="1224" t="s">
        <v>747</v>
      </c>
    </row>
    <row r="163" spans="1:13" ht="12.75">
      <c r="A163" s="286" t="s">
        <v>2160</v>
      </c>
      <c r="E163" s="1223" t="s">
        <v>2162</v>
      </c>
      <c r="F163" s="286" t="s">
        <v>2109</v>
      </c>
      <c r="G163" s="286">
        <v>4</v>
      </c>
      <c r="H163" s="760">
        <v>20500</v>
      </c>
      <c r="I163" s="286">
        <v>0.5</v>
      </c>
      <c r="J163" s="1199">
        <v>0.38</v>
      </c>
      <c r="K163" s="1190" t="s">
        <v>2221</v>
      </c>
      <c r="M163" s="286" t="s">
        <v>2169</v>
      </c>
    </row>
    <row r="164" spans="1:13" ht="12.75">
      <c r="A164" s="286" t="s">
        <v>2461</v>
      </c>
      <c r="E164" s="1223" t="s">
        <v>2162</v>
      </c>
      <c r="F164" s="286" t="s">
        <v>2109</v>
      </c>
      <c r="G164" s="1342">
        <v>2</v>
      </c>
      <c r="H164" s="760">
        <v>20525</v>
      </c>
      <c r="I164" s="286">
        <v>0.75</v>
      </c>
      <c r="J164" s="286">
        <v>0.5</v>
      </c>
      <c r="K164" s="1190" t="s">
        <v>2221</v>
      </c>
      <c r="L164" s="286" t="s">
        <v>997</v>
      </c>
      <c r="M164" s="1342" t="s">
        <v>2462</v>
      </c>
    </row>
    <row r="165" spans="1:13" ht="12.75">
      <c r="A165" s="286" t="s">
        <v>2463</v>
      </c>
      <c r="E165" s="1223" t="s">
        <v>2162</v>
      </c>
      <c r="F165" s="286" t="s">
        <v>2109</v>
      </c>
      <c r="G165" s="1342">
        <v>2</v>
      </c>
      <c r="H165" s="760">
        <v>20525</v>
      </c>
      <c r="I165" s="286">
        <v>0.75</v>
      </c>
      <c r="J165" s="286">
        <v>0.5</v>
      </c>
      <c r="K165" s="1190" t="s">
        <v>2221</v>
      </c>
      <c r="L165" s="286" t="s">
        <v>998</v>
      </c>
      <c r="M165" s="1342" t="s">
        <v>2464</v>
      </c>
    </row>
    <row r="166" spans="1:13" ht="12.75">
      <c r="A166" s="286" t="s">
        <v>2465</v>
      </c>
      <c r="E166" s="1243" t="s">
        <v>2162</v>
      </c>
      <c r="F166" s="1190" t="s">
        <v>2109</v>
      </c>
      <c r="G166" s="286">
        <v>3</v>
      </c>
      <c r="H166" s="760">
        <v>20525</v>
      </c>
      <c r="I166" s="286">
        <v>0.75</v>
      </c>
      <c r="J166" s="286">
        <v>0.5</v>
      </c>
      <c r="K166" s="1190" t="s">
        <v>2221</v>
      </c>
      <c r="L166" s="286" t="s">
        <v>998</v>
      </c>
      <c r="M166" s="1342" t="s">
        <v>2467</v>
      </c>
    </row>
    <row r="167" spans="1:13" ht="12.75">
      <c r="A167" s="286" t="s">
        <v>2466</v>
      </c>
      <c r="E167" s="1223" t="s">
        <v>2161</v>
      </c>
      <c r="F167" s="1190" t="s">
        <v>2116</v>
      </c>
      <c r="G167" s="286">
        <v>4</v>
      </c>
      <c r="H167" s="760">
        <v>20525</v>
      </c>
      <c r="I167" s="286">
        <v>0.75</v>
      </c>
      <c r="J167" s="286">
        <v>0.5</v>
      </c>
      <c r="K167" s="1190" t="s">
        <v>2221</v>
      </c>
      <c r="L167" s="286" t="s">
        <v>997</v>
      </c>
      <c r="M167" s="1342" t="s">
        <v>2468</v>
      </c>
    </row>
    <row r="168" spans="1:13" ht="12.75">
      <c r="A168" s="286" t="s">
        <v>2518</v>
      </c>
      <c r="E168" s="1223">
        <v>6422</v>
      </c>
      <c r="F168" s="1190" t="s">
        <v>2109</v>
      </c>
      <c r="G168" s="286">
        <v>3</v>
      </c>
      <c r="H168" s="286">
        <v>20490</v>
      </c>
      <c r="I168" s="286">
        <v>0.38</v>
      </c>
      <c r="J168" s="1199" t="s">
        <v>2163</v>
      </c>
      <c r="K168" s="1190" t="s">
        <v>2221</v>
      </c>
      <c r="L168" s="286" t="s">
        <v>998</v>
      </c>
      <c r="M168" s="1342" t="s">
        <v>2523</v>
      </c>
    </row>
    <row r="169" spans="1:13" ht="12.75">
      <c r="A169" s="286" t="s">
        <v>2519</v>
      </c>
      <c r="E169" s="1223">
        <v>6422</v>
      </c>
      <c r="F169" s="1190" t="s">
        <v>2109</v>
      </c>
      <c r="G169" s="286">
        <v>2</v>
      </c>
      <c r="H169" s="286">
        <v>20575</v>
      </c>
      <c r="I169" s="286">
        <v>1</v>
      </c>
      <c r="J169" s="1199">
        <v>0.75</v>
      </c>
      <c r="K169" s="1190" t="s">
        <v>2221</v>
      </c>
      <c r="M169" s="1342" t="s">
        <v>2524</v>
      </c>
    </row>
    <row r="170" spans="1:13" ht="12.75">
      <c r="A170" s="1231" t="s">
        <v>2170</v>
      </c>
      <c r="B170" s="1224"/>
      <c r="C170" s="1224"/>
      <c r="D170" s="1224"/>
      <c r="E170" s="1232"/>
      <c r="F170" s="1224"/>
      <c r="G170" s="1224"/>
      <c r="H170" s="1224">
        <f>IF(J170=0.38,20500,IF(J170=0.5,20525,IF(J170=0.75,20575,IF(J170=1,20600,IF(J170=1.5,20625,"")))))</f>
      </c>
      <c r="I170" s="1224">
        <f>IF(J170=0.38,0.5,IF(J170=0.5,0.75,IF(J170=0.75,1,IF(J170=1,1.5,IF(J170=1.5,2,"")))))</f>
      </c>
      <c r="J170" s="1224"/>
      <c r="K170" s="1224"/>
      <c r="L170" s="1224"/>
      <c r="M170" s="1224"/>
    </row>
    <row r="242" ht="12.75">
      <c r="G242" s="286" t="s">
        <v>905</v>
      </c>
    </row>
    <row r="251" ht="12.75">
      <c r="A251" s="1190"/>
    </row>
  </sheetData>
  <sheetProtection/>
  <printOptions horizontalCentered="1" verticalCentered="1"/>
  <pageMargins left="0.25" right="0.25" top="1" bottom="1" header="0.5" footer="0.5"/>
  <pageSetup orientation="landscape" r:id="rId1"/>
  <headerFooter alignWithMargins="0">
    <oddHeader>&amp;C&amp;F</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13">
    <tabColor indexed="18"/>
  </sheetPr>
  <dimension ref="A1:C24"/>
  <sheetViews>
    <sheetView zoomScalePageLayoutView="0" workbookViewId="0" topLeftCell="A11">
      <selection activeCell="A24" sqref="A24"/>
    </sheetView>
  </sheetViews>
  <sheetFormatPr defaultColWidth="9.140625" defaultRowHeight="12.75"/>
  <cols>
    <col min="1" max="1" width="11.00390625" style="1132" customWidth="1"/>
    <col min="2" max="2" width="9.421875" style="982" customWidth="1"/>
    <col min="3" max="3" width="79.28125" style="977" customWidth="1"/>
    <col min="4" max="16384" width="9.140625" style="789" customWidth="1"/>
  </cols>
  <sheetData>
    <row r="1" spans="1:2" ht="12.75">
      <c r="A1" s="1130" t="s">
        <v>13</v>
      </c>
      <c r="B1" s="976"/>
    </row>
    <row r="2" spans="1:3" ht="12.75">
      <c r="A2" s="1131" t="s">
        <v>14</v>
      </c>
      <c r="B2" s="978" t="s">
        <v>15</v>
      </c>
      <c r="C2" s="979" t="s">
        <v>16</v>
      </c>
    </row>
    <row r="3" spans="1:3" ht="12.75">
      <c r="A3" s="1132">
        <v>38946</v>
      </c>
      <c r="B3" s="980" t="s">
        <v>17</v>
      </c>
      <c r="C3" s="981" t="s">
        <v>918</v>
      </c>
    </row>
    <row r="4" spans="1:3" ht="12.75">
      <c r="A4" s="1132">
        <v>38959</v>
      </c>
      <c r="B4" s="982" t="s">
        <v>17</v>
      </c>
      <c r="C4" s="977" t="s">
        <v>323</v>
      </c>
    </row>
    <row r="5" spans="1:3" ht="165.75">
      <c r="A5" s="1132">
        <v>38988</v>
      </c>
      <c r="B5" s="982" t="s">
        <v>17</v>
      </c>
      <c r="C5" s="981" t="s">
        <v>83</v>
      </c>
    </row>
    <row r="6" spans="1:3" ht="12.75">
      <c r="A6" s="1132">
        <v>39002</v>
      </c>
      <c r="B6" s="982" t="s">
        <v>17</v>
      </c>
      <c r="C6" s="1134" t="s">
        <v>1112</v>
      </c>
    </row>
    <row r="7" spans="1:3" ht="89.25">
      <c r="A7" s="1132">
        <v>39028</v>
      </c>
      <c r="B7" s="982" t="s">
        <v>17</v>
      </c>
      <c r="C7" s="981" t="s">
        <v>296</v>
      </c>
    </row>
    <row r="8" spans="1:3" ht="12.75">
      <c r="A8" s="1132">
        <v>39043</v>
      </c>
      <c r="B8" s="982" t="s">
        <v>2138</v>
      </c>
      <c r="C8" s="981" t="s">
        <v>2139</v>
      </c>
    </row>
    <row r="9" spans="1:3" ht="25.5">
      <c r="A9" s="1168">
        <v>39043</v>
      </c>
      <c r="B9" s="1169" t="s">
        <v>17</v>
      </c>
      <c r="C9" s="1170" t="s">
        <v>2137</v>
      </c>
    </row>
    <row r="10" spans="1:3" ht="12.75">
      <c r="A10" s="1132">
        <v>39059</v>
      </c>
      <c r="B10" s="982" t="s">
        <v>2136</v>
      </c>
      <c r="C10" s="977" t="s">
        <v>2135</v>
      </c>
    </row>
    <row r="11" spans="1:3" ht="25.5">
      <c r="A11" s="1132">
        <v>39062</v>
      </c>
      <c r="B11" s="982" t="s">
        <v>17</v>
      </c>
      <c r="C11" s="981" t="s">
        <v>1236</v>
      </c>
    </row>
    <row r="12" spans="1:3" ht="51">
      <c r="A12" s="1132">
        <v>39064</v>
      </c>
      <c r="B12" s="982" t="s">
        <v>1934</v>
      </c>
      <c r="C12" s="977" t="s">
        <v>1935</v>
      </c>
    </row>
    <row r="13" spans="1:3" ht="12.75">
      <c r="A13" s="1132">
        <v>39071</v>
      </c>
      <c r="B13" s="982" t="s">
        <v>2136</v>
      </c>
      <c r="C13" s="977" t="s">
        <v>1113</v>
      </c>
    </row>
    <row r="14" spans="1:3" ht="12.75">
      <c r="A14" s="1132">
        <v>39085</v>
      </c>
      <c r="B14" s="982" t="s">
        <v>2136</v>
      </c>
      <c r="C14" s="977" t="s">
        <v>109</v>
      </c>
    </row>
    <row r="15" spans="1:3" ht="25.5">
      <c r="A15" s="1132">
        <v>39085</v>
      </c>
      <c r="B15" s="982" t="s">
        <v>17</v>
      </c>
      <c r="C15" s="981" t="s">
        <v>1910</v>
      </c>
    </row>
    <row r="16" spans="1:3" ht="12.75">
      <c r="A16" s="1132">
        <v>39086</v>
      </c>
      <c r="B16" s="982" t="s">
        <v>17</v>
      </c>
      <c r="C16" s="977" t="s">
        <v>3</v>
      </c>
    </row>
    <row r="17" spans="1:3" ht="12.75">
      <c r="A17" s="1132">
        <v>39092</v>
      </c>
      <c r="B17" s="982" t="s">
        <v>17</v>
      </c>
      <c r="C17" s="977" t="s">
        <v>550</v>
      </c>
    </row>
    <row r="18" spans="1:3" ht="38.25">
      <c r="A18" s="1132">
        <v>39100</v>
      </c>
      <c r="B18" s="982" t="s">
        <v>17</v>
      </c>
      <c r="C18" s="981" t="s">
        <v>295</v>
      </c>
    </row>
    <row r="19" spans="1:3" ht="25.5">
      <c r="A19" s="1132">
        <v>39120</v>
      </c>
      <c r="B19" s="982" t="s">
        <v>17</v>
      </c>
      <c r="C19" s="981" t="s">
        <v>187</v>
      </c>
    </row>
    <row r="20" spans="1:3" ht="12.75">
      <c r="A20" s="1132">
        <v>39132</v>
      </c>
      <c r="B20" s="982" t="s">
        <v>1211</v>
      </c>
      <c r="C20" s="977" t="s">
        <v>1212</v>
      </c>
    </row>
    <row r="21" spans="1:3" ht="12.75">
      <c r="A21" s="1132">
        <v>21245</v>
      </c>
      <c r="B21" s="982" t="s">
        <v>2308</v>
      </c>
      <c r="C21" s="977" t="s">
        <v>2309</v>
      </c>
    </row>
    <row r="22" spans="1:3" ht="12.75">
      <c r="A22" s="1132">
        <v>39176</v>
      </c>
      <c r="B22" s="982" t="s">
        <v>2136</v>
      </c>
      <c r="C22" s="977" t="s">
        <v>269</v>
      </c>
    </row>
    <row r="23" spans="1:3" ht="12.75">
      <c r="A23" s="1132">
        <v>39182</v>
      </c>
      <c r="B23" s="982" t="s">
        <v>2136</v>
      </c>
      <c r="C23" s="977" t="s">
        <v>1193</v>
      </c>
    </row>
    <row r="24" spans="1:3" ht="12.75">
      <c r="A24" s="1132">
        <v>39294</v>
      </c>
      <c r="B24" s="982" t="s">
        <v>2036</v>
      </c>
      <c r="C24" s="977" t="s">
        <v>2045</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4">
    <tabColor indexed="45"/>
  </sheetPr>
  <dimension ref="A1:E3"/>
  <sheetViews>
    <sheetView zoomScale="75" zoomScaleNormal="75" zoomScalePageLayoutView="0" workbookViewId="0" topLeftCell="A1">
      <selection activeCell="A1" sqref="A1"/>
    </sheetView>
  </sheetViews>
  <sheetFormatPr defaultColWidth="9.140625" defaultRowHeight="12.75"/>
  <cols>
    <col min="1" max="1" width="20.00390625" style="0" customWidth="1"/>
    <col min="2" max="2" width="20.7109375" style="0" customWidth="1"/>
    <col min="3" max="3" width="29.7109375" style="0" customWidth="1"/>
    <col min="4" max="4" width="11.28125" style="0" customWidth="1"/>
    <col min="5" max="5" width="30.28125" style="0" customWidth="1"/>
  </cols>
  <sheetData>
    <row r="1" spans="1:5" ht="12.75">
      <c r="A1" s="1172" t="s">
        <v>18</v>
      </c>
      <c r="B1" s="1172" t="s">
        <v>20</v>
      </c>
      <c r="C1" s="1172" t="s">
        <v>331</v>
      </c>
      <c r="D1" s="1154" t="s">
        <v>322</v>
      </c>
      <c r="E1" s="1100" t="s">
        <v>1235</v>
      </c>
    </row>
    <row r="2" spans="1:5" ht="12.75">
      <c r="A2" s="1154" t="s">
        <v>278</v>
      </c>
      <c r="B2" s="1154" t="s">
        <v>2030</v>
      </c>
      <c r="C2" s="1155" t="s">
        <v>1886</v>
      </c>
      <c r="D2" s="1451">
        <f>LEFT('Design Data'!C10,2)</f>
      </c>
      <c r="E2" s="1172">
        <f>'Design Data'!C10</f>
        <v>0</v>
      </c>
    </row>
    <row r="3" spans="1:5" ht="12.75">
      <c r="A3" s="1154"/>
      <c r="B3" s="1154"/>
      <c r="C3" s="1155"/>
      <c r="D3" s="1154"/>
      <c r="E3" s="1172"/>
    </row>
  </sheetData>
  <sheetProtection/>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tabColor indexed="13"/>
  </sheetPr>
  <dimension ref="A1:AC357"/>
  <sheetViews>
    <sheetView zoomScale="65" zoomScaleNormal="65" zoomScaleSheetLayoutView="25" zoomScalePageLayoutView="0" workbookViewId="0" topLeftCell="A1">
      <selection activeCell="D36" sqref="D36"/>
    </sheetView>
  </sheetViews>
  <sheetFormatPr defaultColWidth="9.140625" defaultRowHeight="12.75"/>
  <cols>
    <col min="1" max="1" width="9.140625" style="786" customWidth="1"/>
    <col min="2" max="6" width="9.140625" style="789" customWidth="1"/>
    <col min="7" max="7" width="11.140625" style="789" customWidth="1"/>
    <col min="8" max="9" width="9.140625" style="789" customWidth="1"/>
    <col min="10" max="10" width="11.28125" style="789" customWidth="1"/>
    <col min="11" max="13" width="9.140625" style="789" customWidth="1"/>
    <col min="14" max="15" width="11.28125" style="789" customWidth="1"/>
    <col min="16" max="16" width="11.8515625" style="789" customWidth="1"/>
    <col min="17" max="17" width="11.28125" style="789" customWidth="1"/>
    <col min="18" max="18" width="9.140625" style="789" customWidth="1"/>
    <col min="19" max="19" width="9.140625" style="786" customWidth="1"/>
    <col min="20" max="20" width="9.140625" style="789" customWidth="1"/>
    <col min="21" max="21" width="9.140625" style="909" customWidth="1"/>
    <col min="22" max="22" width="17.140625" style="909" customWidth="1"/>
    <col min="23" max="23" width="60.421875" style="909" customWidth="1"/>
    <col min="24" max="24" width="12.00390625" style="918" customWidth="1"/>
    <col min="25" max="25" width="13.421875" style="909" customWidth="1"/>
    <col min="26" max="26" width="59.28125" style="789" customWidth="1"/>
    <col min="27" max="16384" width="9.140625" style="789" customWidth="1"/>
  </cols>
  <sheetData>
    <row r="1" spans="1:26" ht="15" customHeight="1" thickBot="1">
      <c r="A1" s="919"/>
      <c r="B1" s="920"/>
      <c r="C1" s="920"/>
      <c r="D1" s="920"/>
      <c r="E1" s="920"/>
      <c r="F1" s="920"/>
      <c r="G1" s="920"/>
      <c r="H1" s="920"/>
      <c r="I1" s="920"/>
      <c r="J1" s="920"/>
      <c r="K1" s="920"/>
      <c r="L1" s="920"/>
      <c r="M1" s="920"/>
      <c r="N1" s="920"/>
      <c r="O1" s="920"/>
      <c r="P1" s="920"/>
      <c r="Q1" s="920"/>
      <c r="R1" s="920"/>
      <c r="S1" s="975"/>
      <c r="T1" s="1082" t="s">
        <v>368</v>
      </c>
      <c r="U1" s="1085" t="s">
        <v>2261</v>
      </c>
      <c r="V1" s="1085" t="s">
        <v>2262</v>
      </c>
      <c r="W1" s="1085" t="s">
        <v>2263</v>
      </c>
      <c r="X1" s="1086" t="s">
        <v>2264</v>
      </c>
      <c r="Y1" s="1085" t="s">
        <v>2265</v>
      </c>
      <c r="Z1" s="1021" t="s">
        <v>666</v>
      </c>
    </row>
    <row r="2" spans="1:26" ht="15" customHeight="1" thickBot="1" thickTop="1">
      <c r="A2" s="921"/>
      <c r="B2" s="1742" t="s">
        <v>1082</v>
      </c>
      <c r="C2" s="1743"/>
      <c r="D2" s="1743"/>
      <c r="E2" s="1743"/>
      <c r="F2" s="1744"/>
      <c r="G2" s="922"/>
      <c r="H2" s="1739" t="s">
        <v>463</v>
      </c>
      <c r="I2" s="1740"/>
      <c r="J2" s="1740"/>
      <c r="K2" s="1741"/>
      <c r="L2" s="922"/>
      <c r="M2" s="1742" t="s">
        <v>363</v>
      </c>
      <c r="N2" s="1743"/>
      <c r="O2" s="1743"/>
      <c r="P2" s="1743"/>
      <c r="Q2" s="1743"/>
      <c r="R2" s="1744"/>
      <c r="S2" s="923"/>
      <c r="T2" s="1083" t="s">
        <v>1471</v>
      </c>
      <c r="U2" s="929" t="s">
        <v>371</v>
      </c>
      <c r="V2" s="929" t="s">
        <v>2263</v>
      </c>
      <c r="W2" s="930" t="s">
        <v>1082</v>
      </c>
      <c r="X2" s="931" t="s">
        <v>2124</v>
      </c>
      <c r="Y2" s="930" t="s">
        <v>2124</v>
      </c>
      <c r="Z2" s="1080" t="s">
        <v>367</v>
      </c>
    </row>
    <row r="3" spans="1:26" ht="15" customHeight="1" thickBot="1" thickTop="1">
      <c r="A3" s="921"/>
      <c r="B3" s="808" t="s">
        <v>2226</v>
      </c>
      <c r="C3" s="809"/>
      <c r="D3" s="1800" t="s">
        <v>375</v>
      </c>
      <c r="E3" s="1707"/>
      <c r="F3" s="1801"/>
      <c r="G3" s="922"/>
      <c r="H3" s="1688" t="s">
        <v>464</v>
      </c>
      <c r="I3" s="1689"/>
      <c r="J3" s="1689"/>
      <c r="K3" s="1690"/>
      <c r="L3" s="922"/>
      <c r="M3" s="810" t="s">
        <v>1002</v>
      </c>
      <c r="N3" s="811"/>
      <c r="O3" s="811"/>
      <c r="P3" s="812" t="s">
        <v>1003</v>
      </c>
      <c r="Q3" s="1799" t="s">
        <v>1004</v>
      </c>
      <c r="R3" s="1744"/>
      <c r="S3" s="923"/>
      <c r="T3" s="1083" t="s">
        <v>1472</v>
      </c>
      <c r="U3" s="932" t="s">
        <v>372</v>
      </c>
      <c r="V3" s="932" t="s">
        <v>2266</v>
      </c>
      <c r="W3" s="933" t="s">
        <v>502</v>
      </c>
      <c r="X3" s="931">
        <v>50</v>
      </c>
      <c r="Y3" s="930" t="s">
        <v>2124</v>
      </c>
      <c r="Z3" s="934"/>
    </row>
    <row r="4" spans="1:26" ht="15" customHeight="1" thickBot="1" thickTop="1">
      <c r="A4" s="921"/>
      <c r="B4" s="813" t="s">
        <v>911</v>
      </c>
      <c r="C4" s="814"/>
      <c r="D4" s="1682" t="s">
        <v>376</v>
      </c>
      <c r="E4" s="1683"/>
      <c r="F4" s="1684"/>
      <c r="G4" s="922"/>
      <c r="H4" s="922"/>
      <c r="I4" s="922"/>
      <c r="J4" s="922"/>
      <c r="K4" s="922"/>
      <c r="L4" s="922"/>
      <c r="M4" s="1787" t="s">
        <v>1009</v>
      </c>
      <c r="N4" s="1788"/>
      <c r="O4" s="1789"/>
      <c r="P4" s="815" t="s">
        <v>420</v>
      </c>
      <c r="Q4" s="1785" t="s">
        <v>492</v>
      </c>
      <c r="R4" s="1786"/>
      <c r="S4" s="923"/>
      <c r="T4" s="1083" t="s">
        <v>1473</v>
      </c>
      <c r="U4" s="935" t="s">
        <v>375</v>
      </c>
      <c r="V4" s="935" t="s">
        <v>2266</v>
      </c>
      <c r="W4" s="930" t="s">
        <v>2226</v>
      </c>
      <c r="X4" s="931">
        <v>40</v>
      </c>
      <c r="Y4" s="930" t="s">
        <v>2124</v>
      </c>
      <c r="Z4" s="934"/>
    </row>
    <row r="5" spans="1:26" ht="15" customHeight="1" thickBot="1" thickTop="1">
      <c r="A5" s="921"/>
      <c r="B5" s="808" t="s">
        <v>2253</v>
      </c>
      <c r="C5" s="816"/>
      <c r="D5" s="1793" t="s">
        <v>377</v>
      </c>
      <c r="E5" s="1794"/>
      <c r="F5" s="1795"/>
      <c r="G5" s="922"/>
      <c r="H5" s="1702" t="s">
        <v>2292</v>
      </c>
      <c r="I5" s="1703"/>
      <c r="J5" s="1804"/>
      <c r="K5" s="922"/>
      <c r="L5" s="922"/>
      <c r="M5" s="1777" t="s">
        <v>1015</v>
      </c>
      <c r="N5" s="1778"/>
      <c r="O5" s="1779"/>
      <c r="P5" s="818" t="s">
        <v>421</v>
      </c>
      <c r="Q5" s="1774" t="s">
        <v>493</v>
      </c>
      <c r="R5" s="1775"/>
      <c r="S5" s="923"/>
      <c r="T5" s="1083" t="s">
        <v>474</v>
      </c>
      <c r="U5" s="935" t="s">
        <v>376</v>
      </c>
      <c r="V5" s="935" t="s">
        <v>2266</v>
      </c>
      <c r="W5" s="935" t="s">
        <v>911</v>
      </c>
      <c r="X5" s="936">
        <v>50</v>
      </c>
      <c r="Y5" s="930" t="s">
        <v>2124</v>
      </c>
      <c r="Z5" s="934"/>
    </row>
    <row r="6" spans="1:26" ht="15" customHeight="1" thickBot="1" thickTop="1">
      <c r="A6" s="921"/>
      <c r="B6" s="819" t="s">
        <v>938</v>
      </c>
      <c r="C6" s="820"/>
      <c r="D6" s="1715" t="s">
        <v>378</v>
      </c>
      <c r="E6" s="1783"/>
      <c r="F6" s="1784"/>
      <c r="G6" s="922"/>
      <c r="H6" s="821" t="s">
        <v>923</v>
      </c>
      <c r="I6" s="822" t="s">
        <v>924</v>
      </c>
      <c r="J6" s="823" t="s">
        <v>925</v>
      </c>
      <c r="K6" s="922"/>
      <c r="L6" s="922"/>
      <c r="M6" s="1706" t="s">
        <v>1018</v>
      </c>
      <c r="N6" s="1707"/>
      <c r="O6" s="1708"/>
      <c r="P6" s="824" t="s">
        <v>422</v>
      </c>
      <c r="Q6" s="1774" t="s">
        <v>494</v>
      </c>
      <c r="R6" s="1775"/>
      <c r="S6" s="923"/>
      <c r="T6" s="1083" t="s">
        <v>475</v>
      </c>
      <c r="U6" s="935" t="s">
        <v>377</v>
      </c>
      <c r="V6" s="935" t="s">
        <v>2271</v>
      </c>
      <c r="W6" s="1081" t="s">
        <v>2253</v>
      </c>
      <c r="X6" s="949" t="s">
        <v>916</v>
      </c>
      <c r="Y6" s="930" t="s">
        <v>2278</v>
      </c>
      <c r="Z6" s="934"/>
    </row>
    <row r="7" spans="1:26" ht="15" customHeight="1" thickTop="1">
      <c r="A7" s="921"/>
      <c r="B7" s="813" t="s">
        <v>932</v>
      </c>
      <c r="C7" s="814"/>
      <c r="D7" s="1796" t="s">
        <v>379</v>
      </c>
      <c r="E7" s="1797"/>
      <c r="F7" s="1798"/>
      <c r="G7" s="922"/>
      <c r="H7" s="825" t="s">
        <v>926</v>
      </c>
      <c r="I7" s="826" t="s">
        <v>393</v>
      </c>
      <c r="J7" s="827" t="s">
        <v>405</v>
      </c>
      <c r="K7" s="922"/>
      <c r="L7" s="922"/>
      <c r="M7" s="1706" t="s">
        <v>1025</v>
      </c>
      <c r="N7" s="1707"/>
      <c r="O7" s="1708"/>
      <c r="P7" s="818" t="s">
        <v>438</v>
      </c>
      <c r="Q7" s="1774" t="s">
        <v>495</v>
      </c>
      <c r="R7" s="1775"/>
      <c r="S7" s="923"/>
      <c r="T7" s="1083" t="s">
        <v>476</v>
      </c>
      <c r="U7" s="935" t="s">
        <v>378</v>
      </c>
      <c r="V7" s="935" t="s">
        <v>2271</v>
      </c>
      <c r="W7" s="787" t="s">
        <v>938</v>
      </c>
      <c r="X7" s="949" t="s">
        <v>501</v>
      </c>
      <c r="Y7" s="938" t="s">
        <v>2213</v>
      </c>
      <c r="Z7" s="934"/>
    </row>
    <row r="8" spans="1:26" ht="15" customHeight="1" thickBot="1">
      <c r="A8" s="921"/>
      <c r="B8" s="1790" t="s">
        <v>372</v>
      </c>
      <c r="C8" s="1791"/>
      <c r="D8" s="1791"/>
      <c r="E8" s="1791"/>
      <c r="F8" s="1792"/>
      <c r="G8" s="922"/>
      <c r="H8" s="825" t="s">
        <v>930</v>
      </c>
      <c r="I8" s="828" t="s">
        <v>394</v>
      </c>
      <c r="J8" s="829" t="s">
        <v>406</v>
      </c>
      <c r="K8" s="922"/>
      <c r="L8" s="922"/>
      <c r="M8" s="1706" t="s">
        <v>974</v>
      </c>
      <c r="N8" s="1707"/>
      <c r="O8" s="1708"/>
      <c r="P8" s="830" t="s">
        <v>439</v>
      </c>
      <c r="Q8" s="1774" t="s">
        <v>496</v>
      </c>
      <c r="R8" s="1775"/>
      <c r="S8" s="923"/>
      <c r="T8" s="1083" t="s">
        <v>477</v>
      </c>
      <c r="U8" s="935" t="s">
        <v>379</v>
      </c>
      <c r="V8" s="935" t="s">
        <v>2266</v>
      </c>
      <c r="W8" s="935" t="s">
        <v>646</v>
      </c>
      <c r="X8" s="1068">
        <v>10</v>
      </c>
      <c r="Y8" s="938" t="s">
        <v>2124</v>
      </c>
      <c r="Z8" s="939"/>
    </row>
    <row r="9" spans="1:26" ht="15" customHeight="1" thickBot="1" thickTop="1">
      <c r="A9" s="921"/>
      <c r="B9" s="908"/>
      <c r="C9" s="908"/>
      <c r="D9" s="908"/>
      <c r="E9" s="908"/>
      <c r="F9" s="908"/>
      <c r="G9" s="922"/>
      <c r="H9" s="825" t="s">
        <v>931</v>
      </c>
      <c r="I9" s="828" t="s">
        <v>395</v>
      </c>
      <c r="J9" s="829" t="s">
        <v>407</v>
      </c>
      <c r="K9" s="922"/>
      <c r="L9" s="922"/>
      <c r="M9" s="1706" t="s">
        <v>973</v>
      </c>
      <c r="N9" s="1707"/>
      <c r="O9" s="1708"/>
      <c r="P9" s="830" t="s">
        <v>440</v>
      </c>
      <c r="Q9" s="1774" t="s">
        <v>497</v>
      </c>
      <c r="R9" s="1775"/>
      <c r="S9" s="923"/>
      <c r="T9" s="1083" t="s">
        <v>478</v>
      </c>
      <c r="U9" s="935" t="s">
        <v>373</v>
      </c>
      <c r="V9" s="938" t="s">
        <v>2263</v>
      </c>
      <c r="W9" s="935" t="s">
        <v>366</v>
      </c>
      <c r="X9" s="931" t="s">
        <v>2124</v>
      </c>
      <c r="Y9" s="930" t="s">
        <v>2124</v>
      </c>
      <c r="Z9" s="934"/>
    </row>
    <row r="10" spans="1:26" ht="15" customHeight="1" thickBot="1" thickTop="1">
      <c r="A10" s="921"/>
      <c r="B10" s="1699" t="s">
        <v>366</v>
      </c>
      <c r="C10" s="1700"/>
      <c r="D10" s="1700"/>
      <c r="E10" s="1700"/>
      <c r="F10" s="1701"/>
      <c r="G10" s="922"/>
      <c r="H10" s="825" t="s">
        <v>934</v>
      </c>
      <c r="I10" s="828" t="s">
        <v>396</v>
      </c>
      <c r="J10" s="829" t="s">
        <v>408</v>
      </c>
      <c r="K10" s="922"/>
      <c r="L10" s="922"/>
      <c r="M10" s="1706" t="s">
        <v>1030</v>
      </c>
      <c r="N10" s="1707"/>
      <c r="O10" s="1708"/>
      <c r="P10" s="830" t="s">
        <v>441</v>
      </c>
      <c r="Q10" s="1774" t="s">
        <v>498</v>
      </c>
      <c r="R10" s="1775"/>
      <c r="S10" s="923"/>
      <c r="T10" s="1083" t="s">
        <v>479</v>
      </c>
      <c r="U10" s="932" t="s">
        <v>2267</v>
      </c>
      <c r="V10" s="932" t="s">
        <v>2271</v>
      </c>
      <c r="W10" s="940" t="s">
        <v>667</v>
      </c>
      <c r="X10" s="941">
        <v>1.1</v>
      </c>
      <c r="Y10" s="932" t="s">
        <v>947</v>
      </c>
      <c r="Z10" s="934"/>
    </row>
    <row r="11" spans="1:26" ht="15" customHeight="1" thickBot="1" thickTop="1">
      <c r="A11" s="921"/>
      <c r="B11" s="832" t="s">
        <v>1056</v>
      </c>
      <c r="C11" s="833" t="s">
        <v>2267</v>
      </c>
      <c r="D11" s="834" t="s">
        <v>380</v>
      </c>
      <c r="E11" s="834" t="s">
        <v>2268</v>
      </c>
      <c r="F11" s="835" t="s">
        <v>474</v>
      </c>
      <c r="G11" s="922"/>
      <c r="H11" s="825" t="s">
        <v>935</v>
      </c>
      <c r="I11" s="828" t="s">
        <v>397</v>
      </c>
      <c r="J11" s="829" t="s">
        <v>409</v>
      </c>
      <c r="K11" s="922"/>
      <c r="L11" s="922"/>
      <c r="M11" s="1706" t="s">
        <v>356</v>
      </c>
      <c r="N11" s="1707"/>
      <c r="O11" s="1708"/>
      <c r="P11" s="830" t="s">
        <v>442</v>
      </c>
      <c r="Q11" s="1774" t="s">
        <v>499</v>
      </c>
      <c r="R11" s="1775"/>
      <c r="S11" s="923"/>
      <c r="T11" s="1083" t="s">
        <v>480</v>
      </c>
      <c r="U11" s="932" t="s">
        <v>2269</v>
      </c>
      <c r="V11" s="932" t="s">
        <v>2271</v>
      </c>
      <c r="W11" s="940" t="s">
        <v>668</v>
      </c>
      <c r="X11" s="941">
        <v>2.1</v>
      </c>
      <c r="Y11" s="932" t="s">
        <v>947</v>
      </c>
      <c r="Z11" s="934"/>
    </row>
    <row r="12" spans="1:26" ht="15" customHeight="1" thickTop="1">
      <c r="A12" s="921"/>
      <c r="B12" s="836" t="s">
        <v>361</v>
      </c>
      <c r="C12" s="837" t="s">
        <v>2269</v>
      </c>
      <c r="D12" s="838" t="s">
        <v>381</v>
      </c>
      <c r="E12" s="838" t="s">
        <v>2270</v>
      </c>
      <c r="F12" s="839" t="s">
        <v>475</v>
      </c>
      <c r="G12" s="922"/>
      <c r="H12" s="825" t="s">
        <v>939</v>
      </c>
      <c r="I12" s="828" t="s">
        <v>398</v>
      </c>
      <c r="J12" s="829" t="s">
        <v>410</v>
      </c>
      <c r="K12" s="922"/>
      <c r="L12" s="922"/>
      <c r="M12" s="1706" t="s">
        <v>357</v>
      </c>
      <c r="N12" s="1707"/>
      <c r="O12" s="1708"/>
      <c r="P12" s="830" t="s">
        <v>443</v>
      </c>
      <c r="Q12" s="1774" t="s">
        <v>500</v>
      </c>
      <c r="R12" s="1775"/>
      <c r="S12" s="923"/>
      <c r="T12" s="1083" t="s">
        <v>481</v>
      </c>
      <c r="U12" s="932" t="s">
        <v>2272</v>
      </c>
      <c r="V12" s="932" t="s">
        <v>2271</v>
      </c>
      <c r="W12" s="940" t="s">
        <v>669</v>
      </c>
      <c r="X12" s="941">
        <v>2.1</v>
      </c>
      <c r="Y12" s="932" t="s">
        <v>947</v>
      </c>
      <c r="Z12" s="934"/>
    </row>
    <row r="13" spans="1:26" ht="15" customHeight="1">
      <c r="A13" s="921"/>
      <c r="B13" s="840" t="s">
        <v>1058</v>
      </c>
      <c r="C13" s="841" t="s">
        <v>2272</v>
      </c>
      <c r="D13" s="842" t="s">
        <v>382</v>
      </c>
      <c r="E13" s="842" t="s">
        <v>2273</v>
      </c>
      <c r="F13" s="843" t="s">
        <v>476</v>
      </c>
      <c r="G13" s="922"/>
      <c r="H13" s="825" t="s">
        <v>940</v>
      </c>
      <c r="I13" s="828" t="s">
        <v>399</v>
      </c>
      <c r="J13" s="829" t="s">
        <v>411</v>
      </c>
      <c r="K13" s="922"/>
      <c r="L13" s="922"/>
      <c r="M13" s="1706" t="s">
        <v>1034</v>
      </c>
      <c r="N13" s="1707"/>
      <c r="O13" s="1708"/>
      <c r="P13" s="830" t="s">
        <v>444</v>
      </c>
      <c r="Q13" s="1774" t="s">
        <v>527</v>
      </c>
      <c r="R13" s="1775"/>
      <c r="S13" s="923"/>
      <c r="T13" s="1083" t="s">
        <v>2281</v>
      </c>
      <c r="U13" s="932" t="s">
        <v>2274</v>
      </c>
      <c r="V13" s="932" t="s">
        <v>2271</v>
      </c>
      <c r="W13" s="940" t="s">
        <v>670</v>
      </c>
      <c r="X13" s="941">
        <v>2.1</v>
      </c>
      <c r="Y13" s="932" t="s">
        <v>947</v>
      </c>
      <c r="Z13" s="934"/>
    </row>
    <row r="14" spans="1:26" ht="15" customHeight="1">
      <c r="A14" s="921"/>
      <c r="B14" s="840" t="s">
        <v>1059</v>
      </c>
      <c r="C14" s="841" t="s">
        <v>2274</v>
      </c>
      <c r="D14" s="842" t="s">
        <v>383</v>
      </c>
      <c r="E14" s="842" t="s">
        <v>2275</v>
      </c>
      <c r="F14" s="843" t="s">
        <v>477</v>
      </c>
      <c r="G14" s="922"/>
      <c r="H14" s="844" t="s">
        <v>950</v>
      </c>
      <c r="I14" s="828" t="s">
        <v>400</v>
      </c>
      <c r="J14" s="829" t="s">
        <v>412</v>
      </c>
      <c r="K14" s="922"/>
      <c r="L14" s="922"/>
      <c r="M14" s="1706" t="s">
        <v>358</v>
      </c>
      <c r="N14" s="1707"/>
      <c r="O14" s="1708"/>
      <c r="P14" s="830" t="s">
        <v>445</v>
      </c>
      <c r="Q14" s="1772"/>
      <c r="R14" s="1773"/>
      <c r="S14" s="923"/>
      <c r="T14" s="1083" t="s">
        <v>482</v>
      </c>
      <c r="U14" s="932" t="s">
        <v>2276</v>
      </c>
      <c r="V14" s="932" t="s">
        <v>2271</v>
      </c>
      <c r="W14" s="940" t="s">
        <v>671</v>
      </c>
      <c r="X14" s="941">
        <v>2.1</v>
      </c>
      <c r="Y14" s="932" t="s">
        <v>947</v>
      </c>
      <c r="Z14" s="934"/>
    </row>
    <row r="15" spans="1:26" ht="15" customHeight="1">
      <c r="A15" s="921"/>
      <c r="B15" s="840" t="s">
        <v>1066</v>
      </c>
      <c r="C15" s="841" t="s">
        <v>2276</v>
      </c>
      <c r="D15" s="842" t="s">
        <v>384</v>
      </c>
      <c r="E15" s="842" t="s">
        <v>2277</v>
      </c>
      <c r="F15" s="843" t="s">
        <v>478</v>
      </c>
      <c r="G15" s="922"/>
      <c r="H15" s="844" t="s">
        <v>952</v>
      </c>
      <c r="I15" s="828" t="s">
        <v>401</v>
      </c>
      <c r="J15" s="829" t="s">
        <v>413</v>
      </c>
      <c r="K15" s="922"/>
      <c r="L15" s="922"/>
      <c r="M15" s="1706" t="s">
        <v>964</v>
      </c>
      <c r="N15" s="1707"/>
      <c r="O15" s="1708"/>
      <c r="P15" s="830" t="s">
        <v>446</v>
      </c>
      <c r="Q15" s="1774" t="s">
        <v>528</v>
      </c>
      <c r="R15" s="1775"/>
      <c r="S15" s="923"/>
      <c r="T15" s="1083" t="s">
        <v>1474</v>
      </c>
      <c r="U15" s="932" t="s">
        <v>465</v>
      </c>
      <c r="V15" s="932" t="s">
        <v>2271</v>
      </c>
      <c r="W15" s="940" t="s">
        <v>672</v>
      </c>
      <c r="X15" s="941">
        <v>3.1</v>
      </c>
      <c r="Y15" s="930" t="s">
        <v>647</v>
      </c>
      <c r="Z15" s="934"/>
    </row>
    <row r="16" spans="1:26" ht="15" customHeight="1">
      <c r="A16" s="921"/>
      <c r="B16" s="840" t="s">
        <v>1067</v>
      </c>
      <c r="C16" s="841" t="s">
        <v>465</v>
      </c>
      <c r="D16" s="842" t="s">
        <v>385</v>
      </c>
      <c r="E16" s="842" t="s">
        <v>470</v>
      </c>
      <c r="F16" s="843" t="s">
        <v>479</v>
      </c>
      <c r="G16" s="922"/>
      <c r="H16" s="844" t="s">
        <v>956</v>
      </c>
      <c r="I16" s="828" t="s">
        <v>402</v>
      </c>
      <c r="J16" s="829" t="s">
        <v>414</v>
      </c>
      <c r="K16" s="922"/>
      <c r="L16" s="922"/>
      <c r="M16" s="1780" t="s">
        <v>1036</v>
      </c>
      <c r="N16" s="1781"/>
      <c r="O16" s="1782"/>
      <c r="P16" s="830" t="s">
        <v>447</v>
      </c>
      <c r="Q16" s="1772"/>
      <c r="R16" s="1773"/>
      <c r="S16" s="923"/>
      <c r="T16" s="1083" t="s">
        <v>539</v>
      </c>
      <c r="U16" s="935" t="s">
        <v>466</v>
      </c>
      <c r="V16" s="935" t="s">
        <v>2271</v>
      </c>
      <c r="W16" s="942" t="s">
        <v>673</v>
      </c>
      <c r="X16" s="936">
        <v>1.3</v>
      </c>
      <c r="Y16" s="930" t="s">
        <v>648</v>
      </c>
      <c r="Z16" s="934"/>
    </row>
    <row r="17" spans="1:26" ht="15" customHeight="1">
      <c r="A17" s="921"/>
      <c r="B17" s="840" t="s">
        <v>1068</v>
      </c>
      <c r="C17" s="845" t="s">
        <v>466</v>
      </c>
      <c r="D17" s="846" t="s">
        <v>2289</v>
      </c>
      <c r="E17" s="846" t="s">
        <v>471</v>
      </c>
      <c r="F17" s="847" t="s">
        <v>480</v>
      </c>
      <c r="G17" s="922"/>
      <c r="H17" s="848" t="s">
        <v>958</v>
      </c>
      <c r="I17" s="828" t="s">
        <v>403</v>
      </c>
      <c r="J17" s="829" t="s">
        <v>415</v>
      </c>
      <c r="K17" s="922"/>
      <c r="L17" s="922"/>
      <c r="M17" s="1706" t="s">
        <v>1037</v>
      </c>
      <c r="N17" s="1707"/>
      <c r="O17" s="1708"/>
      <c r="P17" s="849" t="s">
        <v>448</v>
      </c>
      <c r="Q17" s="1772"/>
      <c r="R17" s="1773"/>
      <c r="S17" s="923"/>
      <c r="T17" s="1083" t="s">
        <v>1475</v>
      </c>
      <c r="U17" s="935" t="s">
        <v>467</v>
      </c>
      <c r="V17" s="935" t="s">
        <v>2271</v>
      </c>
      <c r="W17" s="942" t="s">
        <v>674</v>
      </c>
      <c r="X17" s="936">
        <v>1.1</v>
      </c>
      <c r="Y17" s="935" t="s">
        <v>947</v>
      </c>
      <c r="Z17" s="934"/>
    </row>
    <row r="18" spans="1:26" ht="15" customHeight="1">
      <c r="A18" s="921"/>
      <c r="B18" s="840" t="s">
        <v>1069</v>
      </c>
      <c r="C18" s="841" t="s">
        <v>467</v>
      </c>
      <c r="D18" s="842" t="s">
        <v>386</v>
      </c>
      <c r="E18" s="842" t="s">
        <v>472</v>
      </c>
      <c r="F18" s="843" t="s">
        <v>481</v>
      </c>
      <c r="G18" s="922"/>
      <c r="H18" s="848" t="s">
        <v>959</v>
      </c>
      <c r="I18" s="828" t="s">
        <v>483</v>
      </c>
      <c r="J18" s="829" t="s">
        <v>485</v>
      </c>
      <c r="K18" s="922"/>
      <c r="L18" s="922"/>
      <c r="M18" s="1780" t="s">
        <v>1038</v>
      </c>
      <c r="N18" s="1781"/>
      <c r="O18" s="1782"/>
      <c r="P18" s="850" t="s">
        <v>449</v>
      </c>
      <c r="Q18" s="1772"/>
      <c r="R18" s="1773"/>
      <c r="S18" s="923"/>
      <c r="T18" s="1083" t="s">
        <v>1476</v>
      </c>
      <c r="U18" s="935" t="s">
        <v>468</v>
      </c>
      <c r="V18" s="935" t="s">
        <v>2271</v>
      </c>
      <c r="W18" s="942" t="s">
        <v>675</v>
      </c>
      <c r="X18" s="936">
        <v>2.1</v>
      </c>
      <c r="Y18" s="943" t="s">
        <v>987</v>
      </c>
      <c r="Z18" s="934"/>
    </row>
    <row r="19" spans="1:26" ht="15" customHeight="1">
      <c r="A19" s="921"/>
      <c r="B19" s="840" t="s">
        <v>1070</v>
      </c>
      <c r="C19" s="841" t="s">
        <v>468</v>
      </c>
      <c r="D19" s="842" t="s">
        <v>2279</v>
      </c>
      <c r="E19" s="842" t="s">
        <v>2280</v>
      </c>
      <c r="F19" s="843" t="s">
        <v>2281</v>
      </c>
      <c r="G19" s="922"/>
      <c r="H19" s="848" t="s">
        <v>960</v>
      </c>
      <c r="I19" s="828" t="s">
        <v>484</v>
      </c>
      <c r="J19" s="851" t="s">
        <v>486</v>
      </c>
      <c r="K19" s="922"/>
      <c r="L19" s="922"/>
      <c r="M19" s="1706" t="s">
        <v>359</v>
      </c>
      <c r="N19" s="1707"/>
      <c r="O19" s="1708"/>
      <c r="P19" s="850" t="s">
        <v>450</v>
      </c>
      <c r="Q19" s="1772"/>
      <c r="R19" s="1773"/>
      <c r="S19" s="923"/>
      <c r="T19" s="1083" t="s">
        <v>1477</v>
      </c>
      <c r="U19" s="935" t="s">
        <v>469</v>
      </c>
      <c r="V19" s="935" t="s">
        <v>2271</v>
      </c>
      <c r="W19" s="942" t="s">
        <v>676</v>
      </c>
      <c r="X19" s="944">
        <v>1.1</v>
      </c>
      <c r="Y19" s="943" t="s">
        <v>648</v>
      </c>
      <c r="Z19" s="934"/>
    </row>
    <row r="20" spans="1:26" ht="15" customHeight="1" thickBot="1">
      <c r="A20" s="921"/>
      <c r="B20" s="852" t="s">
        <v>977</v>
      </c>
      <c r="C20" s="853" t="s">
        <v>469</v>
      </c>
      <c r="D20" s="854" t="s">
        <v>387</v>
      </c>
      <c r="E20" s="854" t="s">
        <v>473</v>
      </c>
      <c r="F20" s="855" t="s">
        <v>482</v>
      </c>
      <c r="G20" s="922"/>
      <c r="H20" s="856" t="s">
        <v>962</v>
      </c>
      <c r="I20" s="857" t="s">
        <v>418</v>
      </c>
      <c r="J20" s="858" t="s">
        <v>487</v>
      </c>
      <c r="K20" s="922"/>
      <c r="L20" s="922"/>
      <c r="M20" s="1706" t="s">
        <v>360</v>
      </c>
      <c r="N20" s="1707"/>
      <c r="O20" s="1708"/>
      <c r="P20" s="849" t="s">
        <v>451</v>
      </c>
      <c r="Q20" s="1772"/>
      <c r="R20" s="1773"/>
      <c r="S20" s="923"/>
      <c r="T20" s="1083" t="s">
        <v>1478</v>
      </c>
      <c r="U20" s="935" t="s">
        <v>380</v>
      </c>
      <c r="V20" s="935" t="s">
        <v>2271</v>
      </c>
      <c r="W20" s="942" t="s">
        <v>691</v>
      </c>
      <c r="X20" s="936">
        <v>1.1</v>
      </c>
      <c r="Y20" s="935" t="s">
        <v>947</v>
      </c>
      <c r="Z20" s="934"/>
    </row>
    <row r="21" spans="1:26" ht="15" customHeight="1" thickBot="1" thickTop="1">
      <c r="A21" s="921"/>
      <c r="B21" s="908"/>
      <c r="C21" s="908"/>
      <c r="D21" s="908"/>
      <c r="E21" s="908"/>
      <c r="F21" s="908"/>
      <c r="G21" s="922"/>
      <c r="H21" s="922"/>
      <c r="I21" s="922"/>
      <c r="J21" s="922"/>
      <c r="K21" s="922"/>
      <c r="L21" s="922"/>
      <c r="M21" s="1706" t="s">
        <v>1041</v>
      </c>
      <c r="N21" s="1707"/>
      <c r="O21" s="1708"/>
      <c r="P21" s="830" t="s">
        <v>452</v>
      </c>
      <c r="Q21" s="1772"/>
      <c r="R21" s="1773"/>
      <c r="S21" s="923"/>
      <c r="T21" s="1083" t="s">
        <v>1479</v>
      </c>
      <c r="U21" s="935" t="s">
        <v>381</v>
      </c>
      <c r="V21" s="935" t="s">
        <v>2271</v>
      </c>
      <c r="W21" s="942" t="s">
        <v>692</v>
      </c>
      <c r="X21" s="936">
        <v>2.1</v>
      </c>
      <c r="Y21" s="935" t="s">
        <v>947</v>
      </c>
      <c r="Z21" s="934"/>
    </row>
    <row r="22" spans="1:26" ht="15" customHeight="1" thickBot="1" thickTop="1">
      <c r="A22" s="921"/>
      <c r="B22" s="1810" t="s">
        <v>1005</v>
      </c>
      <c r="C22" s="1811"/>
      <c r="D22" s="1812"/>
      <c r="E22" s="908"/>
      <c r="F22" s="1742" t="s">
        <v>370</v>
      </c>
      <c r="G22" s="1743"/>
      <c r="H22" s="1743"/>
      <c r="I22" s="1743"/>
      <c r="J22" s="1743"/>
      <c r="K22" s="1744"/>
      <c r="L22" s="922"/>
      <c r="M22" s="1706" t="s">
        <v>1042</v>
      </c>
      <c r="N22" s="1707"/>
      <c r="O22" s="1708"/>
      <c r="P22" s="818" t="s">
        <v>453</v>
      </c>
      <c r="Q22" s="1772"/>
      <c r="R22" s="1773"/>
      <c r="S22" s="923"/>
      <c r="T22" s="1083" t="s">
        <v>1480</v>
      </c>
      <c r="U22" s="935" t="s">
        <v>382</v>
      </c>
      <c r="V22" s="935" t="s">
        <v>2271</v>
      </c>
      <c r="W22" s="942" t="s">
        <v>693</v>
      </c>
      <c r="X22" s="936">
        <v>2.1</v>
      </c>
      <c r="Y22" s="935" t="s">
        <v>947</v>
      </c>
      <c r="Z22" s="934"/>
    </row>
    <row r="23" spans="1:26" ht="15" customHeight="1" thickBot="1" thickTop="1">
      <c r="A23" s="921"/>
      <c r="B23" s="859" t="s">
        <v>1010</v>
      </c>
      <c r="C23" s="1685" t="s">
        <v>531</v>
      </c>
      <c r="D23" s="1687"/>
      <c r="E23" s="908"/>
      <c r="F23" s="1805" t="str">
        <f>IF(OR(H7=1,H7=2),"","Complete SGC Des.")</f>
        <v>Complete SGC Des.</v>
      </c>
      <c r="G23" s="1806"/>
      <c r="H23" s="860" t="s">
        <v>2291</v>
      </c>
      <c r="I23" s="1805" t="str">
        <f>IF(OR(H7=1,H7=2),"","1-Pt. SGC Des.")</f>
        <v>1-Pt. SGC Des.</v>
      </c>
      <c r="J23" s="1806"/>
      <c r="K23" s="860" t="s">
        <v>540</v>
      </c>
      <c r="L23" s="922"/>
      <c r="M23" s="1780" t="s">
        <v>1043</v>
      </c>
      <c r="N23" s="1781"/>
      <c r="O23" s="1782"/>
      <c r="P23" s="861" t="s">
        <v>454</v>
      </c>
      <c r="Q23" s="1772"/>
      <c r="R23" s="1773"/>
      <c r="S23" s="923"/>
      <c r="T23" s="1083" t="s">
        <v>544</v>
      </c>
      <c r="U23" s="935" t="s">
        <v>383</v>
      </c>
      <c r="V23" s="935" t="s">
        <v>2271</v>
      </c>
      <c r="W23" s="942" t="s">
        <v>694</v>
      </c>
      <c r="X23" s="936">
        <v>2.1</v>
      </c>
      <c r="Y23" s="935" t="s">
        <v>947</v>
      </c>
      <c r="Z23" s="934"/>
    </row>
    <row r="24" spans="1:26" ht="15" customHeight="1" thickBot="1" thickTop="1">
      <c r="A24" s="921"/>
      <c r="B24" s="862" t="s">
        <v>1016</v>
      </c>
      <c r="C24" s="1682" t="s">
        <v>532</v>
      </c>
      <c r="D24" s="1684"/>
      <c r="E24" s="908"/>
      <c r="F24" s="1770" t="s">
        <v>1049</v>
      </c>
      <c r="G24" s="1771"/>
      <c r="H24" s="860" t="s">
        <v>416</v>
      </c>
      <c r="I24" s="1770" t="s">
        <v>1050</v>
      </c>
      <c r="J24" s="1771"/>
      <c r="K24" s="860" t="s">
        <v>541</v>
      </c>
      <c r="L24" s="922"/>
      <c r="M24" s="1706" t="s">
        <v>1044</v>
      </c>
      <c r="N24" s="1707"/>
      <c r="O24" s="1708"/>
      <c r="P24" s="818" t="s">
        <v>455</v>
      </c>
      <c r="Q24" s="1774" t="s">
        <v>529</v>
      </c>
      <c r="R24" s="1775"/>
      <c r="S24" s="923"/>
      <c r="T24" s="1083" t="s">
        <v>1481</v>
      </c>
      <c r="U24" s="937" t="s">
        <v>384</v>
      </c>
      <c r="V24" s="935" t="s">
        <v>2271</v>
      </c>
      <c r="W24" s="942" t="s">
        <v>695</v>
      </c>
      <c r="X24" s="936">
        <v>2.1</v>
      </c>
      <c r="Y24" s="935" t="s">
        <v>947</v>
      </c>
      <c r="Z24" s="934"/>
    </row>
    <row r="25" spans="1:26" ht="15" customHeight="1" thickBot="1" thickTop="1">
      <c r="A25" s="921"/>
      <c r="B25" s="862" t="s">
        <v>1019</v>
      </c>
      <c r="C25" s="1682" t="s">
        <v>533</v>
      </c>
      <c r="D25" s="1684"/>
      <c r="E25" s="908"/>
      <c r="F25" s="1770" t="s">
        <v>1051</v>
      </c>
      <c r="G25" s="1771"/>
      <c r="H25" s="860" t="s">
        <v>417</v>
      </c>
      <c r="I25" s="1770" t="s">
        <v>1052</v>
      </c>
      <c r="J25" s="1771"/>
      <c r="K25" s="860" t="s">
        <v>542</v>
      </c>
      <c r="L25" s="922"/>
      <c r="M25" s="1706" t="s">
        <v>1045</v>
      </c>
      <c r="N25" s="1707"/>
      <c r="O25" s="1708"/>
      <c r="P25" s="818" t="s">
        <v>456</v>
      </c>
      <c r="Q25" s="1774" t="s">
        <v>530</v>
      </c>
      <c r="R25" s="1775"/>
      <c r="S25" s="923"/>
      <c r="T25" s="1083" t="s">
        <v>545</v>
      </c>
      <c r="U25" s="937" t="s">
        <v>385</v>
      </c>
      <c r="V25" s="935" t="s">
        <v>2271</v>
      </c>
      <c r="W25" s="942" t="s">
        <v>696</v>
      </c>
      <c r="X25" s="936">
        <v>3.1</v>
      </c>
      <c r="Y25" s="930" t="s">
        <v>647</v>
      </c>
      <c r="Z25" s="934"/>
    </row>
    <row r="26" spans="1:26" ht="15" customHeight="1" thickBot="1" thickTop="1">
      <c r="A26" s="921"/>
      <c r="B26" s="1755" t="s">
        <v>1026</v>
      </c>
      <c r="C26" s="1756"/>
      <c r="D26" s="863" t="s">
        <v>2282</v>
      </c>
      <c r="E26" s="908"/>
      <c r="F26" s="1759" t="s">
        <v>1054</v>
      </c>
      <c r="G26" s="1760"/>
      <c r="H26" s="1760"/>
      <c r="I26" s="1760"/>
      <c r="J26" s="1760"/>
      <c r="K26" s="864" t="s">
        <v>543</v>
      </c>
      <c r="L26" s="922"/>
      <c r="M26" s="1780" t="s">
        <v>1046</v>
      </c>
      <c r="N26" s="1781"/>
      <c r="O26" s="1782"/>
      <c r="P26" s="865" t="s">
        <v>457</v>
      </c>
      <c r="Q26" s="1772"/>
      <c r="R26" s="1773"/>
      <c r="S26" s="923"/>
      <c r="T26" s="1083" t="s">
        <v>1482</v>
      </c>
      <c r="U26" s="937" t="s">
        <v>2289</v>
      </c>
      <c r="V26" s="935" t="s">
        <v>2271</v>
      </c>
      <c r="W26" s="942" t="s">
        <v>697</v>
      </c>
      <c r="X26" s="936">
        <v>1.3</v>
      </c>
      <c r="Y26" s="930" t="s">
        <v>648</v>
      </c>
      <c r="Z26" s="934"/>
    </row>
    <row r="27" spans="1:26" ht="15" customHeight="1" thickBot="1" thickTop="1">
      <c r="A27" s="921"/>
      <c r="B27" s="1755" t="s">
        <v>1028</v>
      </c>
      <c r="C27" s="1756"/>
      <c r="D27" s="866" t="s">
        <v>2283</v>
      </c>
      <c r="E27" s="908"/>
      <c r="F27" s="908"/>
      <c r="G27" s="922"/>
      <c r="H27" s="922"/>
      <c r="I27" s="922"/>
      <c r="J27" s="922"/>
      <c r="K27" s="922"/>
      <c r="L27" s="922"/>
      <c r="M27" s="1807" t="s">
        <v>1047</v>
      </c>
      <c r="N27" s="1808"/>
      <c r="O27" s="1809"/>
      <c r="P27" s="867" t="s">
        <v>458</v>
      </c>
      <c r="Q27" s="868"/>
      <c r="R27" s="869"/>
      <c r="S27" s="923"/>
      <c r="T27" s="1083" t="s">
        <v>1483</v>
      </c>
      <c r="U27" s="937" t="s">
        <v>386</v>
      </c>
      <c r="V27" s="935" t="s">
        <v>2271</v>
      </c>
      <c r="W27" s="942" t="s">
        <v>698</v>
      </c>
      <c r="X27" s="936">
        <v>1.1</v>
      </c>
      <c r="Y27" s="935" t="s">
        <v>947</v>
      </c>
      <c r="Z27" s="934"/>
    </row>
    <row r="28" spans="1:26" ht="15" customHeight="1" thickBot="1" thickTop="1">
      <c r="A28" s="921"/>
      <c r="B28" s="1755" t="s">
        <v>1029</v>
      </c>
      <c r="C28" s="1756"/>
      <c r="D28" s="863" t="s">
        <v>2284</v>
      </c>
      <c r="E28" s="908"/>
      <c r="F28" s="908"/>
      <c r="G28" s="922"/>
      <c r="H28" s="922"/>
      <c r="I28" s="922"/>
      <c r="J28" s="922"/>
      <c r="K28" s="922"/>
      <c r="L28" s="922"/>
      <c r="M28" s="870" t="s">
        <v>1048</v>
      </c>
      <c r="N28" s="1731" t="s">
        <v>490</v>
      </c>
      <c r="O28" s="1731"/>
      <c r="P28" s="1731"/>
      <c r="Q28" s="1731"/>
      <c r="R28" s="1732"/>
      <c r="S28" s="923"/>
      <c r="T28" s="1083" t="s">
        <v>1484</v>
      </c>
      <c r="U28" s="937" t="s">
        <v>2279</v>
      </c>
      <c r="V28" s="935" t="s">
        <v>2271</v>
      </c>
      <c r="W28" s="942" t="s">
        <v>699</v>
      </c>
      <c r="X28" s="936">
        <v>2.1</v>
      </c>
      <c r="Y28" s="943" t="s">
        <v>987</v>
      </c>
      <c r="Z28" s="934"/>
    </row>
    <row r="29" spans="1:26" ht="15" customHeight="1" thickBot="1" thickTop="1">
      <c r="A29" s="921"/>
      <c r="B29" s="1776" t="s">
        <v>374</v>
      </c>
      <c r="C29" s="1680"/>
      <c r="D29" s="1681"/>
      <c r="E29" s="908"/>
      <c r="F29" s="1742" t="s">
        <v>369</v>
      </c>
      <c r="G29" s="1743"/>
      <c r="H29" s="1743"/>
      <c r="I29" s="1743"/>
      <c r="J29" s="1743"/>
      <c r="K29" s="1744"/>
      <c r="L29" s="922"/>
      <c r="M29" s="871"/>
      <c r="N29" s="1733"/>
      <c r="O29" s="1733"/>
      <c r="P29" s="1733"/>
      <c r="Q29" s="1733"/>
      <c r="R29" s="1734"/>
      <c r="S29" s="923"/>
      <c r="T29" s="1083" t="s">
        <v>1485</v>
      </c>
      <c r="U29" s="937" t="s">
        <v>387</v>
      </c>
      <c r="V29" s="935" t="s">
        <v>2271</v>
      </c>
      <c r="W29" s="942" t="s">
        <v>700</v>
      </c>
      <c r="X29" s="944">
        <v>1.1</v>
      </c>
      <c r="Y29" s="943" t="s">
        <v>648</v>
      </c>
      <c r="Z29" s="934"/>
    </row>
    <row r="30" spans="1:26" ht="15" customHeight="1" thickBot="1" thickTop="1">
      <c r="A30" s="921"/>
      <c r="B30" s="908"/>
      <c r="C30" s="908"/>
      <c r="D30" s="908"/>
      <c r="E30" s="908"/>
      <c r="F30" s="891" t="s">
        <v>1263</v>
      </c>
      <c r="G30" s="1802" t="s">
        <v>1264</v>
      </c>
      <c r="H30" s="1803"/>
      <c r="I30" s="1802" t="s">
        <v>1267</v>
      </c>
      <c r="J30" s="1813"/>
      <c r="K30" s="1803"/>
      <c r="L30" s="922"/>
      <c r="M30" s="922"/>
      <c r="N30" s="922"/>
      <c r="O30" s="922"/>
      <c r="P30" s="922"/>
      <c r="Q30" s="922"/>
      <c r="R30" s="922"/>
      <c r="S30" s="923"/>
      <c r="T30" s="1083" t="s">
        <v>1486</v>
      </c>
      <c r="U30" s="937" t="s">
        <v>2268</v>
      </c>
      <c r="V30" s="935" t="s">
        <v>2271</v>
      </c>
      <c r="W30" s="942" t="s">
        <v>701</v>
      </c>
      <c r="X30" s="936">
        <v>1.1</v>
      </c>
      <c r="Y30" s="935" t="s">
        <v>947</v>
      </c>
      <c r="Z30" s="934"/>
    </row>
    <row r="31" spans="1:26" ht="15" customHeight="1" thickBot="1" thickTop="1">
      <c r="A31" s="921"/>
      <c r="B31" s="892" t="s">
        <v>653</v>
      </c>
      <c r="C31" s="893"/>
      <c r="D31" s="894"/>
      <c r="E31" s="908"/>
      <c r="F31" s="872" t="s">
        <v>545</v>
      </c>
      <c r="G31" s="1765" t="s">
        <v>546</v>
      </c>
      <c r="H31" s="1766"/>
      <c r="I31" s="1767" t="s">
        <v>2285</v>
      </c>
      <c r="J31" s="1768"/>
      <c r="K31" s="1769"/>
      <c r="L31" s="922"/>
      <c r="M31" s="1739" t="s">
        <v>459</v>
      </c>
      <c r="N31" s="1740"/>
      <c r="O31" s="1741"/>
      <c r="P31" s="908"/>
      <c r="Q31" s="908"/>
      <c r="R31" s="908"/>
      <c r="S31" s="923"/>
      <c r="T31" s="1083" t="s">
        <v>1487</v>
      </c>
      <c r="U31" s="937" t="s">
        <v>2270</v>
      </c>
      <c r="V31" s="935" t="s">
        <v>2271</v>
      </c>
      <c r="W31" s="942" t="s">
        <v>702</v>
      </c>
      <c r="X31" s="936">
        <v>2.1</v>
      </c>
      <c r="Y31" s="935" t="s">
        <v>947</v>
      </c>
      <c r="Z31" s="934"/>
    </row>
    <row r="32" spans="1:26" ht="15" customHeight="1" thickBot="1" thickTop="1">
      <c r="A32" s="921"/>
      <c r="B32" s="1761" t="s">
        <v>654</v>
      </c>
      <c r="C32" s="1762"/>
      <c r="D32" s="905" t="s">
        <v>2286</v>
      </c>
      <c r="E32" s="908"/>
      <c r="F32" s="1735" t="s">
        <v>12</v>
      </c>
      <c r="G32" s="1736"/>
      <c r="H32" s="895" t="s">
        <v>547</v>
      </c>
      <c r="I32" s="1735" t="s">
        <v>345</v>
      </c>
      <c r="J32" s="1736"/>
      <c r="K32" s="895" t="s">
        <v>554</v>
      </c>
      <c r="L32" s="922"/>
      <c r="M32" s="1688" t="s">
        <v>1976</v>
      </c>
      <c r="N32" s="1689"/>
      <c r="O32" s="1690"/>
      <c r="P32" s="908"/>
      <c r="Q32" s="908"/>
      <c r="R32" s="908"/>
      <c r="S32" s="923"/>
      <c r="T32" s="1083" t="s">
        <v>1488</v>
      </c>
      <c r="U32" s="937" t="s">
        <v>2273</v>
      </c>
      <c r="V32" s="935" t="s">
        <v>2271</v>
      </c>
      <c r="W32" s="942" t="s">
        <v>703</v>
      </c>
      <c r="X32" s="936">
        <v>2.1</v>
      </c>
      <c r="Y32" s="935" t="s">
        <v>947</v>
      </c>
      <c r="Z32" s="934"/>
    </row>
    <row r="33" spans="1:26" ht="15" customHeight="1" thickTop="1">
      <c r="A33" s="921"/>
      <c r="B33" s="1763" t="s">
        <v>655</v>
      </c>
      <c r="C33" s="1764"/>
      <c r="D33" s="906" t="s">
        <v>2287</v>
      </c>
      <c r="E33" s="908"/>
      <c r="F33" s="1737" t="s">
        <v>11</v>
      </c>
      <c r="G33" s="1738"/>
      <c r="H33" s="896" t="s">
        <v>548</v>
      </c>
      <c r="I33" s="1737" t="s">
        <v>346</v>
      </c>
      <c r="J33" s="1738"/>
      <c r="K33" s="897" t="s">
        <v>555</v>
      </c>
      <c r="L33" s="922"/>
      <c r="M33" s="922"/>
      <c r="N33" s="922"/>
      <c r="O33" s="922"/>
      <c r="P33" s="922"/>
      <c r="Q33" s="922"/>
      <c r="R33" s="922"/>
      <c r="S33" s="923"/>
      <c r="T33" s="1083" t="s">
        <v>1489</v>
      </c>
      <c r="U33" s="937" t="s">
        <v>2275</v>
      </c>
      <c r="V33" s="935" t="s">
        <v>2271</v>
      </c>
      <c r="W33" s="942" t="s">
        <v>704</v>
      </c>
      <c r="X33" s="936">
        <v>2.1</v>
      </c>
      <c r="Y33" s="935" t="s">
        <v>947</v>
      </c>
      <c r="Z33" s="934"/>
    </row>
    <row r="34" spans="1:26" ht="15" customHeight="1">
      <c r="A34" s="921"/>
      <c r="B34" s="1763" t="s">
        <v>656</v>
      </c>
      <c r="C34" s="1764"/>
      <c r="D34" s="906" t="s">
        <v>2288</v>
      </c>
      <c r="E34" s="908"/>
      <c r="F34" s="1737" t="s">
        <v>10</v>
      </c>
      <c r="G34" s="1738"/>
      <c r="H34" s="896" t="s">
        <v>549</v>
      </c>
      <c r="I34" s="1737" t="s">
        <v>347</v>
      </c>
      <c r="J34" s="1738"/>
      <c r="K34" s="896" t="s">
        <v>556</v>
      </c>
      <c r="L34" s="922"/>
      <c r="M34" s="908"/>
      <c r="N34" s="908"/>
      <c r="O34" s="908"/>
      <c r="P34" s="922"/>
      <c r="Q34" s="922"/>
      <c r="R34" s="922"/>
      <c r="S34" s="923"/>
      <c r="T34" s="1083" t="s">
        <v>1490</v>
      </c>
      <c r="U34" s="937" t="s">
        <v>2277</v>
      </c>
      <c r="V34" s="935" t="s">
        <v>2271</v>
      </c>
      <c r="W34" s="942" t="s">
        <v>705</v>
      </c>
      <c r="X34" s="936">
        <v>2.1</v>
      </c>
      <c r="Y34" s="935" t="s">
        <v>947</v>
      </c>
      <c r="Z34" s="934"/>
    </row>
    <row r="35" spans="1:26" ht="15" customHeight="1" thickBot="1">
      <c r="A35" s="921"/>
      <c r="B35" s="1757" t="s">
        <v>657</v>
      </c>
      <c r="C35" s="1758"/>
      <c r="D35" s="907" t="s">
        <v>535</v>
      </c>
      <c r="E35" s="908"/>
      <c r="F35" s="1737" t="s">
        <v>9</v>
      </c>
      <c r="G35" s="1738"/>
      <c r="H35" s="897" t="s">
        <v>551</v>
      </c>
      <c r="I35" s="1737" t="s">
        <v>348</v>
      </c>
      <c r="J35" s="1738"/>
      <c r="K35" s="896" t="s">
        <v>557</v>
      </c>
      <c r="L35" s="922"/>
      <c r="M35" s="922"/>
      <c r="N35" s="922"/>
      <c r="O35" s="922"/>
      <c r="P35" s="922"/>
      <c r="Q35" s="922"/>
      <c r="R35" s="922"/>
      <c r="S35" s="923"/>
      <c r="T35" s="1083" t="s">
        <v>1491</v>
      </c>
      <c r="U35" s="937" t="s">
        <v>470</v>
      </c>
      <c r="V35" s="935" t="s">
        <v>2271</v>
      </c>
      <c r="W35" s="942" t="s">
        <v>706</v>
      </c>
      <c r="X35" s="936">
        <v>3.1</v>
      </c>
      <c r="Y35" s="930" t="s">
        <v>647</v>
      </c>
      <c r="Z35" s="934"/>
    </row>
    <row r="36" spans="1:26" ht="15" customHeight="1" thickBot="1" thickTop="1">
      <c r="A36" s="921"/>
      <c r="B36" s="901" t="s">
        <v>658</v>
      </c>
      <c r="C36" s="902" t="s">
        <v>536</v>
      </c>
      <c r="D36" s="900" t="s">
        <v>537</v>
      </c>
      <c r="E36" s="922"/>
      <c r="F36" s="1747" t="s">
        <v>8</v>
      </c>
      <c r="G36" s="1748"/>
      <c r="H36" s="898" t="s">
        <v>552</v>
      </c>
      <c r="I36" s="1747" t="s">
        <v>349</v>
      </c>
      <c r="J36" s="1748"/>
      <c r="K36" s="898" t="s">
        <v>558</v>
      </c>
      <c r="L36" s="922"/>
      <c r="M36" s="922"/>
      <c r="N36" s="922"/>
      <c r="O36" s="922"/>
      <c r="P36" s="922"/>
      <c r="Q36" s="922"/>
      <c r="R36" s="922"/>
      <c r="S36" s="923"/>
      <c r="T36" s="1083" t="s">
        <v>1492</v>
      </c>
      <c r="U36" s="937" t="s">
        <v>471</v>
      </c>
      <c r="V36" s="935" t="s">
        <v>2271</v>
      </c>
      <c r="W36" s="942" t="s">
        <v>707</v>
      </c>
      <c r="X36" s="936">
        <v>1.3</v>
      </c>
      <c r="Y36" s="930" t="s">
        <v>648</v>
      </c>
      <c r="Z36" s="934"/>
    </row>
    <row r="37" spans="1:26" ht="15" customHeight="1" thickBot="1" thickTop="1">
      <c r="A37" s="921"/>
      <c r="B37" s="903"/>
      <c r="C37" s="1087" t="s">
        <v>1402</v>
      </c>
      <c r="D37" s="904" t="s">
        <v>538</v>
      </c>
      <c r="E37" s="922"/>
      <c r="F37" s="1745" t="s">
        <v>350</v>
      </c>
      <c r="G37" s="1746"/>
      <c r="H37" s="899" t="s">
        <v>553</v>
      </c>
      <c r="I37" s="1745" t="s">
        <v>351</v>
      </c>
      <c r="J37" s="1746"/>
      <c r="K37" s="899" t="s">
        <v>559</v>
      </c>
      <c r="L37" s="922"/>
      <c r="M37" s="922"/>
      <c r="N37" s="922"/>
      <c r="O37" s="922"/>
      <c r="P37" s="922"/>
      <c r="Q37" s="922"/>
      <c r="R37" s="922"/>
      <c r="S37" s="923"/>
      <c r="T37" s="1083" t="s">
        <v>1493</v>
      </c>
      <c r="U37" s="937" t="s">
        <v>472</v>
      </c>
      <c r="V37" s="935" t="s">
        <v>2271</v>
      </c>
      <c r="W37" s="942" t="s">
        <v>708</v>
      </c>
      <c r="X37" s="936">
        <v>1.1</v>
      </c>
      <c r="Y37" s="935" t="s">
        <v>947</v>
      </c>
      <c r="Z37" s="934"/>
    </row>
    <row r="38" spans="1:26" ht="15" customHeight="1" thickBot="1" thickTop="1">
      <c r="A38" s="921"/>
      <c r="B38" s="922"/>
      <c r="C38" s="922"/>
      <c r="D38" s="922"/>
      <c r="E38" s="922"/>
      <c r="F38" s="922"/>
      <c r="G38" s="922"/>
      <c r="H38" s="922"/>
      <c r="I38" s="922"/>
      <c r="J38" s="922"/>
      <c r="K38" s="922"/>
      <c r="L38" s="922"/>
      <c r="M38" s="922"/>
      <c r="N38" s="922"/>
      <c r="O38" s="922"/>
      <c r="P38" s="922"/>
      <c r="Q38" s="922"/>
      <c r="R38" s="922"/>
      <c r="S38" s="923"/>
      <c r="T38" s="1083" t="s">
        <v>1494</v>
      </c>
      <c r="U38" s="937" t="s">
        <v>2280</v>
      </c>
      <c r="V38" s="935" t="s">
        <v>2271</v>
      </c>
      <c r="W38" s="942" t="s">
        <v>709</v>
      </c>
      <c r="X38" s="936">
        <v>2.1</v>
      </c>
      <c r="Y38" s="943" t="s">
        <v>987</v>
      </c>
      <c r="Z38" s="934"/>
    </row>
    <row r="39" spans="1:26" ht="15" customHeight="1" thickBot="1" thickTop="1">
      <c r="A39" s="921"/>
      <c r="B39" s="1742" t="s">
        <v>362</v>
      </c>
      <c r="C39" s="1743"/>
      <c r="D39" s="1743"/>
      <c r="E39" s="1743"/>
      <c r="F39" s="1743"/>
      <c r="G39" s="1743"/>
      <c r="H39" s="1743"/>
      <c r="I39" s="1743"/>
      <c r="J39" s="1743"/>
      <c r="K39" s="1743"/>
      <c r="L39" s="1743"/>
      <c r="M39" s="1743"/>
      <c r="N39" s="1743"/>
      <c r="O39" s="1743"/>
      <c r="P39" s="1743"/>
      <c r="Q39" s="1743"/>
      <c r="R39" s="1744"/>
      <c r="S39" s="923"/>
      <c r="T39" s="1083" t="s">
        <v>1495</v>
      </c>
      <c r="U39" s="937" t="s">
        <v>473</v>
      </c>
      <c r="V39" s="935" t="s">
        <v>2271</v>
      </c>
      <c r="W39" s="942" t="s">
        <v>710</v>
      </c>
      <c r="X39" s="944">
        <v>1.1</v>
      </c>
      <c r="Y39" s="943" t="s">
        <v>648</v>
      </c>
      <c r="Z39" s="934"/>
    </row>
    <row r="40" spans="1:26" ht="15" customHeight="1" thickBot="1" thickTop="1">
      <c r="A40" s="921"/>
      <c r="B40" s="1751" t="s">
        <v>942</v>
      </c>
      <c r="C40" s="1752"/>
      <c r="D40" s="1753" t="s">
        <v>943</v>
      </c>
      <c r="E40" s="1703"/>
      <c r="F40" s="1703"/>
      <c r="G40" s="1703"/>
      <c r="H40" s="1704"/>
      <c r="I40" s="1754" t="s">
        <v>944</v>
      </c>
      <c r="J40" s="1752"/>
      <c r="K40" s="1753" t="s">
        <v>945</v>
      </c>
      <c r="L40" s="1704"/>
      <c r="M40" s="873" t="s">
        <v>946</v>
      </c>
      <c r="N40" s="817" t="s">
        <v>947</v>
      </c>
      <c r="O40" s="873" t="s">
        <v>2257</v>
      </c>
      <c r="P40" s="1705" t="s">
        <v>460</v>
      </c>
      <c r="Q40" s="1700"/>
      <c r="R40" s="1701"/>
      <c r="S40" s="923"/>
      <c r="T40" s="1083" t="s">
        <v>1496</v>
      </c>
      <c r="U40" s="937" t="s">
        <v>474</v>
      </c>
      <c r="V40" s="935" t="s">
        <v>2271</v>
      </c>
      <c r="W40" s="942" t="s">
        <v>711</v>
      </c>
      <c r="X40" s="936">
        <v>1.1</v>
      </c>
      <c r="Y40" s="935" t="s">
        <v>947</v>
      </c>
      <c r="Z40" s="934"/>
    </row>
    <row r="41" spans="1:26" ht="15" customHeight="1" thickTop="1">
      <c r="A41" s="921"/>
      <c r="B41" s="1713" t="s">
        <v>561</v>
      </c>
      <c r="C41" s="1714"/>
      <c r="D41" s="1685" t="s">
        <v>567</v>
      </c>
      <c r="E41" s="1686"/>
      <c r="F41" s="1686"/>
      <c r="G41" s="1686"/>
      <c r="H41" s="1750"/>
      <c r="I41" s="1749" t="s">
        <v>573</v>
      </c>
      <c r="J41" s="1714"/>
      <c r="K41" s="1749" t="s">
        <v>579</v>
      </c>
      <c r="L41" s="1714"/>
      <c r="M41" s="874" t="s">
        <v>585</v>
      </c>
      <c r="N41" s="875" t="s">
        <v>591</v>
      </c>
      <c r="O41" s="876" t="s">
        <v>597</v>
      </c>
      <c r="P41" s="1685" t="s">
        <v>603</v>
      </c>
      <c r="Q41" s="1686"/>
      <c r="R41" s="1687"/>
      <c r="S41" s="923"/>
      <c r="T41" s="1083" t="s">
        <v>1497</v>
      </c>
      <c r="U41" s="937" t="s">
        <v>475</v>
      </c>
      <c r="V41" s="935" t="s">
        <v>2271</v>
      </c>
      <c r="W41" s="942" t="s">
        <v>712</v>
      </c>
      <c r="X41" s="936">
        <v>2.1</v>
      </c>
      <c r="Y41" s="935" t="s">
        <v>947</v>
      </c>
      <c r="Z41" s="934"/>
    </row>
    <row r="42" spans="1:26" ht="15" customHeight="1">
      <c r="A42" s="921"/>
      <c r="B42" s="1729" t="s">
        <v>562</v>
      </c>
      <c r="C42" s="1716"/>
      <c r="D42" s="1682" t="s">
        <v>568</v>
      </c>
      <c r="E42" s="1683"/>
      <c r="F42" s="1683"/>
      <c r="G42" s="1683"/>
      <c r="H42" s="1712"/>
      <c r="I42" s="1715" t="s">
        <v>574</v>
      </c>
      <c r="J42" s="1716"/>
      <c r="K42" s="1715" t="s">
        <v>580</v>
      </c>
      <c r="L42" s="1716"/>
      <c r="M42" s="874" t="s">
        <v>586</v>
      </c>
      <c r="N42" s="875" t="s">
        <v>592</v>
      </c>
      <c r="O42" s="877" t="s">
        <v>598</v>
      </c>
      <c r="P42" s="1682" t="s">
        <v>604</v>
      </c>
      <c r="Q42" s="1683"/>
      <c r="R42" s="1684"/>
      <c r="S42" s="923"/>
      <c r="T42" s="1083" t="s">
        <v>1498</v>
      </c>
      <c r="U42" s="937" t="s">
        <v>476</v>
      </c>
      <c r="V42" s="935" t="s">
        <v>2271</v>
      </c>
      <c r="W42" s="942" t="s">
        <v>713</v>
      </c>
      <c r="X42" s="936">
        <v>2.1</v>
      </c>
      <c r="Y42" s="935" t="s">
        <v>947</v>
      </c>
      <c r="Z42" s="934"/>
    </row>
    <row r="43" spans="1:26" ht="15" customHeight="1">
      <c r="A43" s="921"/>
      <c r="B43" s="1729" t="s">
        <v>563</v>
      </c>
      <c r="C43" s="1716"/>
      <c r="D43" s="1682" t="s">
        <v>569</v>
      </c>
      <c r="E43" s="1683"/>
      <c r="F43" s="1683"/>
      <c r="G43" s="1683"/>
      <c r="H43" s="1712"/>
      <c r="I43" s="1715" t="s">
        <v>575</v>
      </c>
      <c r="J43" s="1716"/>
      <c r="K43" s="1715" t="s">
        <v>581</v>
      </c>
      <c r="L43" s="1716"/>
      <c r="M43" s="874" t="s">
        <v>587</v>
      </c>
      <c r="N43" s="875" t="s">
        <v>593</v>
      </c>
      <c r="O43" s="877" t="s">
        <v>599</v>
      </c>
      <c r="P43" s="1682" t="s">
        <v>605</v>
      </c>
      <c r="Q43" s="1683"/>
      <c r="R43" s="1684"/>
      <c r="S43" s="923"/>
      <c r="T43" s="1083" t="s">
        <v>614</v>
      </c>
      <c r="U43" s="937" t="s">
        <v>477</v>
      </c>
      <c r="V43" s="935" t="s">
        <v>2271</v>
      </c>
      <c r="W43" s="942" t="s">
        <v>714</v>
      </c>
      <c r="X43" s="936">
        <v>2.1</v>
      </c>
      <c r="Y43" s="935" t="s">
        <v>947</v>
      </c>
      <c r="Z43" s="934"/>
    </row>
    <row r="44" spans="1:26" ht="15" customHeight="1">
      <c r="A44" s="921"/>
      <c r="B44" s="1729" t="s">
        <v>564</v>
      </c>
      <c r="C44" s="1716"/>
      <c r="D44" s="1682" t="s">
        <v>570</v>
      </c>
      <c r="E44" s="1683"/>
      <c r="F44" s="1683"/>
      <c r="G44" s="1683"/>
      <c r="H44" s="1712"/>
      <c r="I44" s="1715" t="s">
        <v>576</v>
      </c>
      <c r="J44" s="1716"/>
      <c r="K44" s="1715" t="s">
        <v>582</v>
      </c>
      <c r="L44" s="1716"/>
      <c r="M44" s="874" t="s">
        <v>588</v>
      </c>
      <c r="N44" s="875" t="s">
        <v>594</v>
      </c>
      <c r="O44" s="877" t="s">
        <v>600</v>
      </c>
      <c r="P44" s="1682" t="s">
        <v>606</v>
      </c>
      <c r="Q44" s="1683"/>
      <c r="R44" s="1684"/>
      <c r="S44" s="923"/>
      <c r="T44" s="1083" t="s">
        <v>615</v>
      </c>
      <c r="U44" s="937" t="s">
        <v>478</v>
      </c>
      <c r="V44" s="935" t="s">
        <v>2271</v>
      </c>
      <c r="W44" s="942" t="s">
        <v>715</v>
      </c>
      <c r="X44" s="936">
        <v>2.1</v>
      </c>
      <c r="Y44" s="935" t="s">
        <v>947</v>
      </c>
      <c r="Z44" s="934"/>
    </row>
    <row r="45" spans="1:26" ht="15" customHeight="1">
      <c r="A45" s="921"/>
      <c r="B45" s="1729" t="s">
        <v>565</v>
      </c>
      <c r="C45" s="1716"/>
      <c r="D45" s="1682" t="s">
        <v>571</v>
      </c>
      <c r="E45" s="1683"/>
      <c r="F45" s="1683"/>
      <c r="G45" s="1683"/>
      <c r="H45" s="1712"/>
      <c r="I45" s="1715" t="s">
        <v>577</v>
      </c>
      <c r="J45" s="1716"/>
      <c r="K45" s="1715" t="s">
        <v>583</v>
      </c>
      <c r="L45" s="1716"/>
      <c r="M45" s="874" t="s">
        <v>589</v>
      </c>
      <c r="N45" s="875" t="s">
        <v>595</v>
      </c>
      <c r="O45" s="877" t="s">
        <v>601</v>
      </c>
      <c r="P45" s="1682" t="s">
        <v>607</v>
      </c>
      <c r="Q45" s="1683"/>
      <c r="R45" s="1684"/>
      <c r="S45" s="923"/>
      <c r="T45" s="1083" t="s">
        <v>616</v>
      </c>
      <c r="U45" s="937" t="s">
        <v>479</v>
      </c>
      <c r="V45" s="935" t="s">
        <v>2271</v>
      </c>
      <c r="W45" s="942" t="s">
        <v>716</v>
      </c>
      <c r="X45" s="936">
        <v>3.1</v>
      </c>
      <c r="Y45" s="930" t="s">
        <v>647</v>
      </c>
      <c r="Z45" s="934"/>
    </row>
    <row r="46" spans="1:26" ht="15" customHeight="1" thickBot="1">
      <c r="A46" s="921"/>
      <c r="B46" s="1717" t="s">
        <v>566</v>
      </c>
      <c r="C46" s="1698"/>
      <c r="D46" s="1679" t="s">
        <v>572</v>
      </c>
      <c r="E46" s="1680"/>
      <c r="F46" s="1680"/>
      <c r="G46" s="1680"/>
      <c r="H46" s="1730"/>
      <c r="I46" s="1697" t="s">
        <v>578</v>
      </c>
      <c r="J46" s="1698"/>
      <c r="K46" s="1697" t="s">
        <v>584</v>
      </c>
      <c r="L46" s="1698"/>
      <c r="M46" s="878" t="s">
        <v>590</v>
      </c>
      <c r="N46" s="879" t="s">
        <v>596</v>
      </c>
      <c r="O46" s="880" t="s">
        <v>602</v>
      </c>
      <c r="P46" s="1679" t="s">
        <v>608</v>
      </c>
      <c r="Q46" s="1680"/>
      <c r="R46" s="1681"/>
      <c r="S46" s="923"/>
      <c r="T46" s="1083" t="s">
        <v>617</v>
      </c>
      <c r="U46" s="937" t="s">
        <v>480</v>
      </c>
      <c r="V46" s="935" t="s">
        <v>2271</v>
      </c>
      <c r="W46" s="942" t="s">
        <v>717</v>
      </c>
      <c r="X46" s="936">
        <v>1.3</v>
      </c>
      <c r="Y46" s="930" t="s">
        <v>648</v>
      </c>
      <c r="Z46" s="934"/>
    </row>
    <row r="47" spans="1:26" ht="15" customHeight="1" thickBot="1" thickTop="1">
      <c r="A47" s="921"/>
      <c r="B47" s="924"/>
      <c r="C47" s="924"/>
      <c r="D47" s="924"/>
      <c r="E47" s="924"/>
      <c r="F47" s="924"/>
      <c r="G47" s="924"/>
      <c r="H47" s="924"/>
      <c r="I47" s="924"/>
      <c r="J47" s="924"/>
      <c r="K47" s="924"/>
      <c r="L47" s="924"/>
      <c r="M47" s="924"/>
      <c r="N47" s="924"/>
      <c r="O47" s="924"/>
      <c r="P47" s="924"/>
      <c r="Q47" s="924"/>
      <c r="R47" s="924"/>
      <c r="S47" s="923"/>
      <c r="T47" s="1083" t="s">
        <v>1499</v>
      </c>
      <c r="U47" s="937" t="s">
        <v>481</v>
      </c>
      <c r="V47" s="935" t="s">
        <v>2271</v>
      </c>
      <c r="W47" s="942" t="s">
        <v>718</v>
      </c>
      <c r="X47" s="936">
        <v>1.1</v>
      </c>
      <c r="Y47" s="935" t="s">
        <v>947</v>
      </c>
      <c r="Z47" s="934"/>
    </row>
    <row r="48" spans="1:26" ht="15" customHeight="1" thickBot="1" thickTop="1">
      <c r="A48" s="921"/>
      <c r="B48" s="1718" t="s">
        <v>364</v>
      </c>
      <c r="C48" s="1719"/>
      <c r="D48" s="1719"/>
      <c r="E48" s="1719"/>
      <c r="F48" s="1719"/>
      <c r="G48" s="1719"/>
      <c r="H48" s="1719"/>
      <c r="I48" s="1720"/>
      <c r="J48" s="924"/>
      <c r="K48" s="922"/>
      <c r="L48" s="1699" t="s">
        <v>365</v>
      </c>
      <c r="M48" s="1700"/>
      <c r="N48" s="1700"/>
      <c r="O48" s="1700"/>
      <c r="P48" s="1700"/>
      <c r="Q48" s="1700"/>
      <c r="R48" s="1701"/>
      <c r="S48" s="923"/>
      <c r="T48" s="1083" t="s">
        <v>1500</v>
      </c>
      <c r="U48" s="937" t="s">
        <v>2281</v>
      </c>
      <c r="V48" s="935" t="s">
        <v>2271</v>
      </c>
      <c r="W48" s="942" t="s">
        <v>719</v>
      </c>
      <c r="X48" s="936">
        <v>2.1</v>
      </c>
      <c r="Y48" s="943" t="s">
        <v>987</v>
      </c>
      <c r="Z48" s="934"/>
    </row>
    <row r="49" spans="1:26" ht="15" customHeight="1" thickBot="1" thickTop="1">
      <c r="A49" s="921"/>
      <c r="B49" s="1721" t="s">
        <v>352</v>
      </c>
      <c r="C49" s="1722"/>
      <c r="D49" s="910" t="s">
        <v>610</v>
      </c>
      <c r="E49" s="881" t="s">
        <v>1217</v>
      </c>
      <c r="F49" s="911" t="s">
        <v>614</v>
      </c>
      <c r="G49" s="1727" t="s">
        <v>1218</v>
      </c>
      <c r="H49" s="1728"/>
      <c r="I49" s="912" t="s">
        <v>621</v>
      </c>
      <c r="J49" s="924"/>
      <c r="K49" s="922"/>
      <c r="L49" s="1702" t="s">
        <v>2260</v>
      </c>
      <c r="M49" s="1703"/>
      <c r="N49" s="1704"/>
      <c r="O49" s="873" t="s">
        <v>2257</v>
      </c>
      <c r="P49" s="1705" t="s">
        <v>462</v>
      </c>
      <c r="Q49" s="1700"/>
      <c r="R49" s="1701"/>
      <c r="S49" s="923"/>
      <c r="T49" s="1083" t="s">
        <v>1501</v>
      </c>
      <c r="U49" s="937" t="s">
        <v>482</v>
      </c>
      <c r="V49" s="935" t="s">
        <v>2271</v>
      </c>
      <c r="W49" s="942" t="s">
        <v>720</v>
      </c>
      <c r="X49" s="944">
        <v>1.1</v>
      </c>
      <c r="Y49" s="943" t="s">
        <v>648</v>
      </c>
      <c r="Z49" s="934"/>
    </row>
    <row r="50" spans="1:26" ht="15" customHeight="1" thickTop="1">
      <c r="A50" s="921"/>
      <c r="B50" s="1723" t="s">
        <v>1219</v>
      </c>
      <c r="C50" s="1724"/>
      <c r="D50" s="913" t="s">
        <v>611</v>
      </c>
      <c r="E50" s="882" t="s">
        <v>353</v>
      </c>
      <c r="F50" s="914" t="s">
        <v>615</v>
      </c>
      <c r="G50" s="1723" t="s">
        <v>1221</v>
      </c>
      <c r="H50" s="1724"/>
      <c r="I50" s="913" t="s">
        <v>622</v>
      </c>
      <c r="J50" s="922"/>
      <c r="K50" s="922"/>
      <c r="L50" s="1709" t="s">
        <v>626</v>
      </c>
      <c r="M50" s="1710"/>
      <c r="N50" s="1711"/>
      <c r="O50" s="883" t="s">
        <v>632</v>
      </c>
      <c r="P50" s="1685" t="s">
        <v>638</v>
      </c>
      <c r="Q50" s="1686"/>
      <c r="R50" s="1687"/>
      <c r="S50" s="923"/>
      <c r="T50" s="1083" t="s">
        <v>1502</v>
      </c>
      <c r="U50" s="937" t="s">
        <v>388</v>
      </c>
      <c r="V50" s="935" t="s">
        <v>2263</v>
      </c>
      <c r="W50" s="945" t="s">
        <v>463</v>
      </c>
      <c r="X50" s="931" t="s">
        <v>2124</v>
      </c>
      <c r="Y50" s="930" t="s">
        <v>2124</v>
      </c>
      <c r="Z50" s="934"/>
    </row>
    <row r="51" spans="1:26" ht="15" customHeight="1">
      <c r="A51" s="921"/>
      <c r="B51" s="1723" t="s">
        <v>1222</v>
      </c>
      <c r="C51" s="1724"/>
      <c r="D51" s="913" t="s">
        <v>612</v>
      </c>
      <c r="E51" s="882" t="s">
        <v>1223</v>
      </c>
      <c r="F51" s="913" t="s">
        <v>616</v>
      </c>
      <c r="G51" s="1723" t="s">
        <v>1224</v>
      </c>
      <c r="H51" s="1724"/>
      <c r="I51" s="915" t="s">
        <v>623</v>
      </c>
      <c r="J51" s="922"/>
      <c r="K51" s="922"/>
      <c r="L51" s="1694" t="s">
        <v>627</v>
      </c>
      <c r="M51" s="1695"/>
      <c r="N51" s="1696"/>
      <c r="O51" s="884" t="s">
        <v>633</v>
      </c>
      <c r="P51" s="1682" t="s">
        <v>639</v>
      </c>
      <c r="Q51" s="1683"/>
      <c r="R51" s="1684"/>
      <c r="S51" s="923"/>
      <c r="T51" s="1083" t="s">
        <v>1503</v>
      </c>
      <c r="U51" s="937" t="s">
        <v>389</v>
      </c>
      <c r="V51" s="935" t="s">
        <v>2263</v>
      </c>
      <c r="W51" s="946" t="s">
        <v>464</v>
      </c>
      <c r="X51" s="931" t="s">
        <v>2124</v>
      </c>
      <c r="Y51" s="930" t="s">
        <v>2124</v>
      </c>
      <c r="Z51" s="934"/>
    </row>
    <row r="52" spans="1:26" ht="15" customHeight="1" thickBot="1">
      <c r="A52" s="921"/>
      <c r="B52" s="1725" t="s">
        <v>354</v>
      </c>
      <c r="C52" s="1726"/>
      <c r="D52" s="885" t="s">
        <v>613</v>
      </c>
      <c r="E52" s="886" t="s">
        <v>355</v>
      </c>
      <c r="F52" s="916" t="s">
        <v>617</v>
      </c>
      <c r="G52" s="1725" t="s">
        <v>1227</v>
      </c>
      <c r="H52" s="1726"/>
      <c r="I52" s="917" t="s">
        <v>624</v>
      </c>
      <c r="J52" s="922"/>
      <c r="K52" s="922"/>
      <c r="L52" s="1694" t="s">
        <v>628</v>
      </c>
      <c r="M52" s="1695"/>
      <c r="N52" s="1696"/>
      <c r="O52" s="884" t="s">
        <v>634</v>
      </c>
      <c r="P52" s="1682" t="s">
        <v>640</v>
      </c>
      <c r="Q52" s="1683"/>
      <c r="R52" s="1684"/>
      <c r="S52" s="923"/>
      <c r="T52" s="1083" t="s">
        <v>1504</v>
      </c>
      <c r="U52" s="937" t="s">
        <v>390</v>
      </c>
      <c r="V52" s="935" t="s">
        <v>2263</v>
      </c>
      <c r="W52" s="937" t="s">
        <v>2292</v>
      </c>
      <c r="X52" s="931" t="s">
        <v>2124</v>
      </c>
      <c r="Y52" s="930" t="s">
        <v>2124</v>
      </c>
      <c r="Z52" s="934"/>
    </row>
    <row r="53" spans="1:26" ht="15" customHeight="1" thickTop="1">
      <c r="A53" s="921"/>
      <c r="B53" s="924"/>
      <c r="C53" s="924"/>
      <c r="D53" s="924"/>
      <c r="E53" s="924"/>
      <c r="F53" s="924"/>
      <c r="G53" s="924"/>
      <c r="H53" s="922"/>
      <c r="I53" s="922"/>
      <c r="J53" s="922"/>
      <c r="K53" s="922"/>
      <c r="L53" s="1694" t="s">
        <v>629</v>
      </c>
      <c r="M53" s="1695"/>
      <c r="N53" s="1696"/>
      <c r="O53" s="884" t="s">
        <v>635</v>
      </c>
      <c r="P53" s="1682" t="s">
        <v>641</v>
      </c>
      <c r="Q53" s="1683"/>
      <c r="R53" s="1684"/>
      <c r="S53" s="923"/>
      <c r="T53" s="1083" t="s">
        <v>1505</v>
      </c>
      <c r="U53" s="937" t="s">
        <v>391</v>
      </c>
      <c r="V53" s="935" t="s">
        <v>2263</v>
      </c>
      <c r="W53" s="947" t="s">
        <v>923</v>
      </c>
      <c r="X53" s="931" t="s">
        <v>2124</v>
      </c>
      <c r="Y53" s="930" t="s">
        <v>2124</v>
      </c>
      <c r="Z53" s="934"/>
    </row>
    <row r="54" spans="1:26" ht="15" customHeight="1">
      <c r="A54" s="921"/>
      <c r="B54" s="922"/>
      <c r="C54" s="922"/>
      <c r="D54" s="922"/>
      <c r="E54" s="922"/>
      <c r="F54" s="922"/>
      <c r="G54" s="922"/>
      <c r="H54" s="922"/>
      <c r="I54" s="922"/>
      <c r="J54" s="922"/>
      <c r="K54" s="922"/>
      <c r="L54" s="1694" t="s">
        <v>630</v>
      </c>
      <c r="M54" s="1695"/>
      <c r="N54" s="1696"/>
      <c r="O54" s="884" t="s">
        <v>636</v>
      </c>
      <c r="P54" s="1682" t="s">
        <v>642</v>
      </c>
      <c r="Q54" s="1683"/>
      <c r="R54" s="1684"/>
      <c r="S54" s="923"/>
      <c r="T54" s="1083" t="s">
        <v>1506</v>
      </c>
      <c r="U54" s="933" t="s">
        <v>392</v>
      </c>
      <c r="V54" s="932" t="s">
        <v>2263</v>
      </c>
      <c r="W54" s="933" t="s">
        <v>924</v>
      </c>
      <c r="X54" s="931" t="s">
        <v>2124</v>
      </c>
      <c r="Y54" s="930" t="s">
        <v>2124</v>
      </c>
      <c r="Z54" s="934"/>
    </row>
    <row r="55" spans="1:26" ht="15" customHeight="1" thickBot="1">
      <c r="A55" s="921"/>
      <c r="B55" s="922"/>
      <c r="C55" s="922"/>
      <c r="D55" s="922"/>
      <c r="E55" s="922"/>
      <c r="F55" s="922"/>
      <c r="G55" s="922"/>
      <c r="H55" s="922"/>
      <c r="I55" s="922"/>
      <c r="J55" s="922"/>
      <c r="K55" s="922"/>
      <c r="L55" s="1691" t="s">
        <v>631</v>
      </c>
      <c r="M55" s="1692"/>
      <c r="N55" s="1693"/>
      <c r="O55" s="887" t="s">
        <v>637</v>
      </c>
      <c r="P55" s="1679" t="s">
        <v>643</v>
      </c>
      <c r="Q55" s="1680"/>
      <c r="R55" s="1681"/>
      <c r="S55" s="923"/>
      <c r="T55" s="1083" t="s">
        <v>1507</v>
      </c>
      <c r="U55" s="937" t="s">
        <v>393</v>
      </c>
      <c r="V55" s="787" t="s">
        <v>2271</v>
      </c>
      <c r="W55" s="948" t="s">
        <v>677</v>
      </c>
      <c r="X55" s="949" t="s">
        <v>501</v>
      </c>
      <c r="Y55" s="935" t="s">
        <v>947</v>
      </c>
      <c r="Z55" s="934"/>
    </row>
    <row r="56" spans="1:26" ht="15" customHeight="1" thickBot="1" thickTop="1">
      <c r="A56" s="925"/>
      <c r="B56" s="926"/>
      <c r="C56" s="926"/>
      <c r="D56" s="926"/>
      <c r="E56" s="926"/>
      <c r="F56" s="926"/>
      <c r="G56" s="926"/>
      <c r="H56" s="926"/>
      <c r="I56" s="926"/>
      <c r="J56" s="926"/>
      <c r="K56" s="926"/>
      <c r="L56" s="926"/>
      <c r="M56" s="926"/>
      <c r="N56" s="926"/>
      <c r="O56" s="926"/>
      <c r="P56" s="926"/>
      <c r="Q56" s="926"/>
      <c r="R56" s="926"/>
      <c r="S56" s="927"/>
      <c r="T56" s="1083" t="s">
        <v>1508</v>
      </c>
      <c r="U56" s="937" t="s">
        <v>394</v>
      </c>
      <c r="V56" s="787" t="s">
        <v>2271</v>
      </c>
      <c r="W56" s="948" t="s">
        <v>678</v>
      </c>
      <c r="X56" s="949" t="s">
        <v>501</v>
      </c>
      <c r="Y56" s="935" t="s">
        <v>947</v>
      </c>
      <c r="Z56" s="934"/>
    </row>
    <row r="57" spans="20:26" ht="15" customHeight="1">
      <c r="T57" s="1083" t="s">
        <v>1509</v>
      </c>
      <c r="U57" s="937" t="s">
        <v>395</v>
      </c>
      <c r="V57" s="787" t="s">
        <v>2271</v>
      </c>
      <c r="W57" s="948" t="s">
        <v>679</v>
      </c>
      <c r="X57" s="949" t="s">
        <v>501</v>
      </c>
      <c r="Y57" s="935" t="s">
        <v>947</v>
      </c>
      <c r="Z57" s="934"/>
    </row>
    <row r="58" spans="20:26" ht="15" customHeight="1">
      <c r="T58" s="1083" t="s">
        <v>1510</v>
      </c>
      <c r="U58" s="937" t="s">
        <v>396</v>
      </c>
      <c r="V58" s="787" t="s">
        <v>2271</v>
      </c>
      <c r="W58" s="948" t="s">
        <v>680</v>
      </c>
      <c r="X58" s="949" t="s">
        <v>501</v>
      </c>
      <c r="Y58" s="935" t="s">
        <v>947</v>
      </c>
      <c r="Z58" s="934"/>
    </row>
    <row r="59" spans="20:26" ht="15" customHeight="1">
      <c r="T59" s="1083" t="s">
        <v>1511</v>
      </c>
      <c r="U59" s="937" t="s">
        <v>397</v>
      </c>
      <c r="V59" s="787" t="s">
        <v>2271</v>
      </c>
      <c r="W59" s="948" t="s">
        <v>681</v>
      </c>
      <c r="X59" s="949" t="s">
        <v>501</v>
      </c>
      <c r="Y59" s="935" t="s">
        <v>947</v>
      </c>
      <c r="Z59" s="934"/>
    </row>
    <row r="60" spans="20:26" ht="15" customHeight="1">
      <c r="T60" s="1083" t="s">
        <v>1512</v>
      </c>
      <c r="U60" s="937" t="s">
        <v>398</v>
      </c>
      <c r="V60" s="787" t="s">
        <v>2271</v>
      </c>
      <c r="W60" s="948" t="s">
        <v>682</v>
      </c>
      <c r="X60" s="949" t="s">
        <v>501</v>
      </c>
      <c r="Y60" s="935" t="s">
        <v>947</v>
      </c>
      <c r="Z60" s="934"/>
    </row>
    <row r="61" spans="20:26" ht="15" customHeight="1">
      <c r="T61" s="1083" t="s">
        <v>1513</v>
      </c>
      <c r="U61" s="937" t="s">
        <v>399</v>
      </c>
      <c r="V61" s="787" t="s">
        <v>2271</v>
      </c>
      <c r="W61" s="948" t="s">
        <v>683</v>
      </c>
      <c r="X61" s="949" t="s">
        <v>501</v>
      </c>
      <c r="Y61" s="935" t="s">
        <v>947</v>
      </c>
      <c r="Z61" s="934"/>
    </row>
    <row r="62" spans="20:26" ht="15" customHeight="1">
      <c r="T62" s="1083" t="s">
        <v>1514</v>
      </c>
      <c r="U62" s="937" t="s">
        <v>400</v>
      </c>
      <c r="V62" s="787" t="s">
        <v>2271</v>
      </c>
      <c r="W62" s="950" t="s">
        <v>684</v>
      </c>
      <c r="X62" s="949" t="s">
        <v>501</v>
      </c>
      <c r="Y62" s="935" t="s">
        <v>947</v>
      </c>
      <c r="Z62" s="934"/>
    </row>
    <row r="63" spans="20:26" ht="15" customHeight="1">
      <c r="T63" s="1083" t="s">
        <v>1515</v>
      </c>
      <c r="U63" s="937" t="s">
        <v>401</v>
      </c>
      <c r="V63" s="787" t="s">
        <v>2271</v>
      </c>
      <c r="W63" s="950" t="s">
        <v>685</v>
      </c>
      <c r="X63" s="949" t="s">
        <v>501</v>
      </c>
      <c r="Y63" s="935" t="s">
        <v>947</v>
      </c>
      <c r="Z63" s="934"/>
    </row>
    <row r="64" spans="20:26" ht="15" customHeight="1">
      <c r="T64" s="1083" t="s">
        <v>1516</v>
      </c>
      <c r="U64" s="937" t="s">
        <v>402</v>
      </c>
      <c r="V64" s="787" t="s">
        <v>2271</v>
      </c>
      <c r="W64" s="950" t="s">
        <v>686</v>
      </c>
      <c r="X64" s="949" t="s">
        <v>501</v>
      </c>
      <c r="Y64" s="935" t="s">
        <v>947</v>
      </c>
      <c r="Z64" s="934"/>
    </row>
    <row r="65" spans="20:26" ht="15" customHeight="1">
      <c r="T65" s="1083" t="s">
        <v>1517</v>
      </c>
      <c r="U65" s="937" t="s">
        <v>403</v>
      </c>
      <c r="V65" s="787" t="s">
        <v>2271</v>
      </c>
      <c r="W65" s="951" t="s">
        <v>687</v>
      </c>
      <c r="X65" s="949" t="s">
        <v>501</v>
      </c>
      <c r="Y65" s="935" t="s">
        <v>947</v>
      </c>
      <c r="Z65" s="934"/>
    </row>
    <row r="66" spans="20:26" ht="15" customHeight="1">
      <c r="T66" s="1083" t="s">
        <v>1518</v>
      </c>
      <c r="U66" s="937" t="s">
        <v>483</v>
      </c>
      <c r="V66" s="787" t="s">
        <v>2271</v>
      </c>
      <c r="W66" s="951" t="s">
        <v>688</v>
      </c>
      <c r="X66" s="949" t="s">
        <v>501</v>
      </c>
      <c r="Y66" s="935" t="s">
        <v>947</v>
      </c>
      <c r="Z66" s="934"/>
    </row>
    <row r="67" spans="20:26" ht="15" customHeight="1">
      <c r="T67" s="1083" t="s">
        <v>1519</v>
      </c>
      <c r="U67" s="937" t="s">
        <v>484</v>
      </c>
      <c r="V67" s="787" t="s">
        <v>2271</v>
      </c>
      <c r="W67" s="951" t="s">
        <v>689</v>
      </c>
      <c r="X67" s="949" t="s">
        <v>501</v>
      </c>
      <c r="Y67" s="935" t="s">
        <v>947</v>
      </c>
      <c r="Z67" s="934"/>
    </row>
    <row r="68" spans="20:26" ht="15" customHeight="1">
      <c r="T68" s="1083" t="s">
        <v>1520</v>
      </c>
      <c r="U68" s="937" t="s">
        <v>418</v>
      </c>
      <c r="V68" s="787" t="s">
        <v>2271</v>
      </c>
      <c r="W68" s="950" t="s">
        <v>690</v>
      </c>
      <c r="X68" s="949">
        <v>2.1</v>
      </c>
      <c r="Y68" s="935" t="s">
        <v>947</v>
      </c>
      <c r="Z68" s="934"/>
    </row>
    <row r="69" spans="20:26" ht="15" customHeight="1">
      <c r="T69" s="1083" t="s">
        <v>1521</v>
      </c>
      <c r="U69" s="937" t="s">
        <v>404</v>
      </c>
      <c r="V69" s="935" t="s">
        <v>2263</v>
      </c>
      <c r="W69" s="937" t="s">
        <v>925</v>
      </c>
      <c r="X69" s="931" t="s">
        <v>2124</v>
      </c>
      <c r="Y69" s="930" t="s">
        <v>2124</v>
      </c>
      <c r="Z69" s="934"/>
    </row>
    <row r="70" spans="20:26" ht="15" customHeight="1">
      <c r="T70" s="1083" t="s">
        <v>1522</v>
      </c>
      <c r="U70" s="937" t="s">
        <v>405</v>
      </c>
      <c r="V70" s="787" t="s">
        <v>2271</v>
      </c>
      <c r="W70" s="948" t="s">
        <v>721</v>
      </c>
      <c r="X70" s="949" t="s">
        <v>501</v>
      </c>
      <c r="Y70" s="938" t="s">
        <v>947</v>
      </c>
      <c r="Z70" s="934"/>
    </row>
    <row r="71" spans="20:26" ht="15" customHeight="1">
      <c r="T71" s="1083" t="s">
        <v>1523</v>
      </c>
      <c r="U71" s="937" t="s">
        <v>406</v>
      </c>
      <c r="V71" s="787" t="s">
        <v>2271</v>
      </c>
      <c r="W71" s="948" t="s">
        <v>722</v>
      </c>
      <c r="X71" s="949" t="s">
        <v>501</v>
      </c>
      <c r="Y71" s="938" t="s">
        <v>947</v>
      </c>
      <c r="Z71" s="934"/>
    </row>
    <row r="72" spans="20:26" ht="15" customHeight="1">
      <c r="T72" s="1083" t="s">
        <v>1524</v>
      </c>
      <c r="U72" s="937" t="s">
        <v>407</v>
      </c>
      <c r="V72" s="787" t="s">
        <v>2271</v>
      </c>
      <c r="W72" s="948" t="s">
        <v>723</v>
      </c>
      <c r="X72" s="949" t="s">
        <v>501</v>
      </c>
      <c r="Y72" s="938" t="s">
        <v>947</v>
      </c>
      <c r="Z72" s="934"/>
    </row>
    <row r="73" spans="20:26" ht="15" customHeight="1">
      <c r="T73" s="1083" t="s">
        <v>1525</v>
      </c>
      <c r="U73" s="937" t="s">
        <v>408</v>
      </c>
      <c r="V73" s="787" t="s">
        <v>2271</v>
      </c>
      <c r="W73" s="948" t="s">
        <v>724</v>
      </c>
      <c r="X73" s="949" t="s">
        <v>501</v>
      </c>
      <c r="Y73" s="938" t="s">
        <v>947</v>
      </c>
      <c r="Z73" s="934"/>
    </row>
    <row r="74" spans="20:26" ht="15" customHeight="1">
      <c r="T74" s="1083" t="s">
        <v>1526</v>
      </c>
      <c r="U74" s="937" t="s">
        <v>409</v>
      </c>
      <c r="V74" s="787" t="s">
        <v>2271</v>
      </c>
      <c r="W74" s="948" t="s">
        <v>725</v>
      </c>
      <c r="X74" s="949" t="s">
        <v>501</v>
      </c>
      <c r="Y74" s="938" t="s">
        <v>947</v>
      </c>
      <c r="Z74" s="934"/>
    </row>
    <row r="75" spans="20:26" ht="15" customHeight="1">
      <c r="T75" s="1083" t="s">
        <v>1527</v>
      </c>
      <c r="U75" s="937" t="s">
        <v>410</v>
      </c>
      <c r="V75" s="787" t="s">
        <v>2271</v>
      </c>
      <c r="W75" s="948" t="s">
        <v>726</v>
      </c>
      <c r="X75" s="949" t="s">
        <v>501</v>
      </c>
      <c r="Y75" s="938" t="s">
        <v>947</v>
      </c>
      <c r="Z75" s="934"/>
    </row>
    <row r="76" spans="20:26" ht="15" customHeight="1">
      <c r="T76" s="1083" t="s">
        <v>1528</v>
      </c>
      <c r="U76" s="937" t="s">
        <v>411</v>
      </c>
      <c r="V76" s="787" t="s">
        <v>2271</v>
      </c>
      <c r="W76" s="948" t="s">
        <v>727</v>
      </c>
      <c r="X76" s="949" t="s">
        <v>501</v>
      </c>
      <c r="Y76" s="938" t="s">
        <v>947</v>
      </c>
      <c r="Z76" s="934"/>
    </row>
    <row r="77" spans="20:26" ht="15" customHeight="1">
      <c r="T77" s="1083" t="s">
        <v>1529</v>
      </c>
      <c r="U77" s="937" t="s">
        <v>412</v>
      </c>
      <c r="V77" s="787" t="s">
        <v>2271</v>
      </c>
      <c r="W77" s="950" t="s">
        <v>728</v>
      </c>
      <c r="X77" s="949" t="s">
        <v>501</v>
      </c>
      <c r="Y77" s="938" t="s">
        <v>947</v>
      </c>
      <c r="Z77" s="934"/>
    </row>
    <row r="78" spans="20:26" ht="15" customHeight="1">
      <c r="T78" s="1083" t="s">
        <v>1530</v>
      </c>
      <c r="U78" s="937" t="s">
        <v>413</v>
      </c>
      <c r="V78" s="787" t="s">
        <v>2271</v>
      </c>
      <c r="W78" s="950" t="s">
        <v>729</v>
      </c>
      <c r="X78" s="949" t="s">
        <v>501</v>
      </c>
      <c r="Y78" s="938" t="s">
        <v>947</v>
      </c>
      <c r="Z78" s="934"/>
    </row>
    <row r="79" spans="20:26" ht="15" customHeight="1">
      <c r="T79" s="1083" t="s">
        <v>1531</v>
      </c>
      <c r="U79" s="937" t="s">
        <v>414</v>
      </c>
      <c r="V79" s="787" t="s">
        <v>2271</v>
      </c>
      <c r="W79" s="950" t="s">
        <v>730</v>
      </c>
      <c r="X79" s="949" t="s">
        <v>501</v>
      </c>
      <c r="Y79" s="938" t="s">
        <v>947</v>
      </c>
      <c r="Z79" s="934"/>
    </row>
    <row r="80" spans="20:26" ht="15" customHeight="1">
      <c r="T80" s="1083" t="s">
        <v>1532</v>
      </c>
      <c r="U80" s="937" t="s">
        <v>415</v>
      </c>
      <c r="V80" s="787" t="s">
        <v>2271</v>
      </c>
      <c r="W80" s="951" t="s">
        <v>731</v>
      </c>
      <c r="X80" s="949" t="s">
        <v>501</v>
      </c>
      <c r="Y80" s="938" t="s">
        <v>947</v>
      </c>
      <c r="Z80" s="934"/>
    </row>
    <row r="81" spans="20:26" ht="15" customHeight="1">
      <c r="T81" s="1083" t="s">
        <v>1533</v>
      </c>
      <c r="U81" s="937" t="s">
        <v>485</v>
      </c>
      <c r="V81" s="787" t="s">
        <v>2271</v>
      </c>
      <c r="W81" s="951" t="s">
        <v>732</v>
      </c>
      <c r="X81" s="949" t="s">
        <v>501</v>
      </c>
      <c r="Y81" s="938" t="s">
        <v>947</v>
      </c>
      <c r="Z81" s="934"/>
    </row>
    <row r="82" spans="20:26" ht="15" customHeight="1">
      <c r="T82" s="1083" t="s">
        <v>1534</v>
      </c>
      <c r="U82" s="937" t="s">
        <v>486</v>
      </c>
      <c r="V82" s="787" t="s">
        <v>2271</v>
      </c>
      <c r="W82" s="951" t="s">
        <v>733</v>
      </c>
      <c r="X82" s="949" t="s">
        <v>501</v>
      </c>
      <c r="Y82" s="938" t="s">
        <v>947</v>
      </c>
      <c r="Z82" s="934"/>
    </row>
    <row r="83" spans="20:26" ht="15" customHeight="1">
      <c r="T83" s="1083" t="s">
        <v>1535</v>
      </c>
      <c r="U83" s="937" t="s">
        <v>487</v>
      </c>
      <c r="V83" s="787" t="s">
        <v>2271</v>
      </c>
      <c r="W83" s="950" t="s">
        <v>734</v>
      </c>
      <c r="X83" s="949">
        <v>2.1</v>
      </c>
      <c r="Y83" s="938" t="s">
        <v>947</v>
      </c>
      <c r="Z83" s="934"/>
    </row>
    <row r="84" spans="20:26" ht="15" customHeight="1">
      <c r="T84" s="1083" t="s">
        <v>1536</v>
      </c>
      <c r="U84" s="937" t="s">
        <v>488</v>
      </c>
      <c r="V84" s="935" t="s">
        <v>2263</v>
      </c>
      <c r="W84" s="952" t="s">
        <v>363</v>
      </c>
      <c r="X84" s="931" t="s">
        <v>2124</v>
      </c>
      <c r="Y84" s="930" t="s">
        <v>2124</v>
      </c>
      <c r="Z84" s="953"/>
    </row>
    <row r="85" spans="20:26" ht="15" customHeight="1">
      <c r="T85" s="1083" t="s">
        <v>1537</v>
      </c>
      <c r="U85" s="937" t="s">
        <v>489</v>
      </c>
      <c r="V85" s="935" t="s">
        <v>2263</v>
      </c>
      <c r="W85" s="947" t="s">
        <v>1002</v>
      </c>
      <c r="X85" s="931" t="s">
        <v>2124</v>
      </c>
      <c r="Y85" s="930" t="s">
        <v>2124</v>
      </c>
      <c r="Z85" s="953"/>
    </row>
    <row r="86" spans="20:26" ht="15" customHeight="1">
      <c r="T86" s="1083" t="s">
        <v>1538</v>
      </c>
      <c r="U86" s="933" t="s">
        <v>490</v>
      </c>
      <c r="V86" s="932" t="s">
        <v>2266</v>
      </c>
      <c r="W86" s="954" t="s">
        <v>1974</v>
      </c>
      <c r="X86" s="936">
        <v>256</v>
      </c>
      <c r="Y86" s="930" t="s">
        <v>2124</v>
      </c>
      <c r="Z86" s="953"/>
    </row>
    <row r="87" spans="20:26" ht="15" customHeight="1">
      <c r="T87" s="1083" t="s">
        <v>1539</v>
      </c>
      <c r="U87" s="937" t="s">
        <v>419</v>
      </c>
      <c r="V87" s="935" t="s">
        <v>2263</v>
      </c>
      <c r="W87" s="954" t="s">
        <v>1003</v>
      </c>
      <c r="X87" s="931" t="s">
        <v>2124</v>
      </c>
      <c r="Y87" s="930" t="s">
        <v>2124</v>
      </c>
      <c r="Z87" s="953"/>
    </row>
    <row r="88" spans="20:26" ht="15" customHeight="1">
      <c r="T88" s="1083" t="s">
        <v>1540</v>
      </c>
      <c r="U88" s="937" t="s">
        <v>420</v>
      </c>
      <c r="V88" s="787" t="s">
        <v>2266</v>
      </c>
      <c r="W88" s="947" t="s">
        <v>1009</v>
      </c>
      <c r="X88" s="936">
        <v>10</v>
      </c>
      <c r="Y88" s="930" t="s">
        <v>506</v>
      </c>
      <c r="Z88" s="953"/>
    </row>
    <row r="89" spans="20:26" ht="15" customHeight="1">
      <c r="T89" s="1083" t="s">
        <v>1541</v>
      </c>
      <c r="U89" s="937" t="s">
        <v>421</v>
      </c>
      <c r="V89" s="787" t="s">
        <v>2271</v>
      </c>
      <c r="W89" s="955" t="s">
        <v>1015</v>
      </c>
      <c r="X89" s="936" t="s">
        <v>507</v>
      </c>
      <c r="Y89" s="930" t="s">
        <v>947</v>
      </c>
      <c r="Z89" s="953"/>
    </row>
    <row r="90" spans="20:26" ht="15" customHeight="1">
      <c r="T90" s="1083" t="s">
        <v>1542</v>
      </c>
      <c r="U90" s="937" t="s">
        <v>422</v>
      </c>
      <c r="V90" s="787" t="s">
        <v>2271</v>
      </c>
      <c r="W90" s="947" t="s">
        <v>1018</v>
      </c>
      <c r="X90" s="936" t="s">
        <v>507</v>
      </c>
      <c r="Y90" s="930" t="s">
        <v>947</v>
      </c>
      <c r="Z90" s="953"/>
    </row>
    <row r="91" spans="20:26" ht="15" customHeight="1">
      <c r="T91" s="1083" t="s">
        <v>1543</v>
      </c>
      <c r="U91" s="937" t="s">
        <v>438</v>
      </c>
      <c r="V91" s="787" t="s">
        <v>2271</v>
      </c>
      <c r="W91" s="947" t="s">
        <v>1025</v>
      </c>
      <c r="X91" s="936" t="s">
        <v>507</v>
      </c>
      <c r="Y91" s="930" t="s">
        <v>947</v>
      </c>
      <c r="Z91" s="953"/>
    </row>
    <row r="92" spans="20:26" ht="15" customHeight="1">
      <c r="T92" s="1083" t="s">
        <v>1544</v>
      </c>
      <c r="U92" s="937" t="s">
        <v>439</v>
      </c>
      <c r="V92" s="787" t="s">
        <v>2271</v>
      </c>
      <c r="W92" s="947" t="s">
        <v>974</v>
      </c>
      <c r="X92" s="936" t="s">
        <v>508</v>
      </c>
      <c r="Y92" s="930" t="s">
        <v>947</v>
      </c>
      <c r="Z92" s="953"/>
    </row>
    <row r="93" spans="20:26" ht="15" customHeight="1">
      <c r="T93" s="1083" t="s">
        <v>1545</v>
      </c>
      <c r="U93" s="937" t="s">
        <v>440</v>
      </c>
      <c r="V93" s="787" t="s">
        <v>2271</v>
      </c>
      <c r="W93" s="947" t="s">
        <v>973</v>
      </c>
      <c r="X93" s="936" t="s">
        <v>508</v>
      </c>
      <c r="Y93" s="930" t="s">
        <v>947</v>
      </c>
      <c r="Z93" s="953"/>
    </row>
    <row r="94" spans="20:26" ht="15" customHeight="1">
      <c r="T94" s="1083" t="s">
        <v>1546</v>
      </c>
      <c r="U94" s="937" t="s">
        <v>441</v>
      </c>
      <c r="V94" s="787" t="s">
        <v>2271</v>
      </c>
      <c r="W94" s="947" t="s">
        <v>1030</v>
      </c>
      <c r="X94" s="936" t="s">
        <v>509</v>
      </c>
      <c r="Y94" s="930" t="s">
        <v>648</v>
      </c>
      <c r="Z94" s="953"/>
    </row>
    <row r="95" spans="20:26" ht="15" customHeight="1">
      <c r="T95" s="1083" t="s">
        <v>1547</v>
      </c>
      <c r="U95" s="937" t="s">
        <v>442</v>
      </c>
      <c r="V95" s="787" t="s">
        <v>2271</v>
      </c>
      <c r="W95" s="947" t="s">
        <v>423</v>
      </c>
      <c r="X95" s="936" t="s">
        <v>508</v>
      </c>
      <c r="Y95" s="930" t="s">
        <v>947</v>
      </c>
      <c r="Z95" s="953"/>
    </row>
    <row r="96" spans="20:26" ht="15" customHeight="1">
      <c r="T96" s="1083" t="s">
        <v>1548</v>
      </c>
      <c r="U96" s="937" t="s">
        <v>443</v>
      </c>
      <c r="V96" s="787" t="s">
        <v>2271</v>
      </c>
      <c r="W96" s="947" t="s">
        <v>424</v>
      </c>
      <c r="X96" s="936" t="s">
        <v>508</v>
      </c>
      <c r="Y96" s="930" t="s">
        <v>947</v>
      </c>
      <c r="Z96" s="953"/>
    </row>
    <row r="97" spans="20:26" ht="15" customHeight="1">
      <c r="T97" s="1083" t="s">
        <v>1549</v>
      </c>
      <c r="U97" s="937" t="s">
        <v>444</v>
      </c>
      <c r="V97" s="787" t="s">
        <v>2271</v>
      </c>
      <c r="W97" s="947" t="s">
        <v>1034</v>
      </c>
      <c r="X97" s="936" t="s">
        <v>508</v>
      </c>
      <c r="Y97" s="930" t="s">
        <v>947</v>
      </c>
      <c r="Z97" s="953"/>
    </row>
    <row r="98" spans="20:26" ht="15" customHeight="1">
      <c r="T98" s="1083" t="s">
        <v>1550</v>
      </c>
      <c r="U98" s="937" t="s">
        <v>445</v>
      </c>
      <c r="V98" s="787" t="s">
        <v>2271</v>
      </c>
      <c r="W98" s="947" t="s">
        <v>425</v>
      </c>
      <c r="X98" s="936" t="s">
        <v>510</v>
      </c>
      <c r="Y98" s="930" t="s">
        <v>649</v>
      </c>
      <c r="Z98" s="934"/>
    </row>
    <row r="99" spans="20:26" ht="15" customHeight="1">
      <c r="T99" s="1083" t="s">
        <v>1551</v>
      </c>
      <c r="U99" s="937" t="s">
        <v>446</v>
      </c>
      <c r="V99" s="787" t="s">
        <v>2271</v>
      </c>
      <c r="W99" s="947" t="s">
        <v>964</v>
      </c>
      <c r="X99" s="936" t="s">
        <v>508</v>
      </c>
      <c r="Y99" s="930" t="s">
        <v>947</v>
      </c>
      <c r="Z99" s="953"/>
    </row>
    <row r="100" spans="20:26" ht="15" customHeight="1">
      <c r="T100" s="1083" t="s">
        <v>1552</v>
      </c>
      <c r="U100" s="937" t="s">
        <v>447</v>
      </c>
      <c r="V100" s="787" t="s">
        <v>2271</v>
      </c>
      <c r="W100" s="952" t="s">
        <v>1036</v>
      </c>
      <c r="X100" s="936" t="s">
        <v>508</v>
      </c>
      <c r="Y100" s="930" t="s">
        <v>947</v>
      </c>
      <c r="Z100" s="953"/>
    </row>
    <row r="101" spans="20:26" ht="15" customHeight="1">
      <c r="T101" s="1083" t="s">
        <v>1553</v>
      </c>
      <c r="U101" s="937" t="s">
        <v>448</v>
      </c>
      <c r="V101" s="787" t="s">
        <v>2271</v>
      </c>
      <c r="W101" s="947" t="s">
        <v>1037</v>
      </c>
      <c r="X101" s="936" t="s">
        <v>511</v>
      </c>
      <c r="Y101" s="930" t="s">
        <v>648</v>
      </c>
      <c r="Z101" s="953"/>
    </row>
    <row r="102" spans="20:26" ht="15" customHeight="1">
      <c r="T102" s="1083" t="s">
        <v>1554</v>
      </c>
      <c r="U102" s="937" t="s">
        <v>449</v>
      </c>
      <c r="V102" s="787" t="s">
        <v>2271</v>
      </c>
      <c r="W102" s="952" t="s">
        <v>1038</v>
      </c>
      <c r="X102" s="936" t="s">
        <v>505</v>
      </c>
      <c r="Y102" s="930" t="s">
        <v>947</v>
      </c>
      <c r="Z102" s="953"/>
    </row>
    <row r="103" spans="20:26" ht="15" customHeight="1">
      <c r="T103" s="1083" t="s">
        <v>1555</v>
      </c>
      <c r="U103" s="937" t="s">
        <v>450</v>
      </c>
      <c r="V103" s="787" t="s">
        <v>2271</v>
      </c>
      <c r="W103" s="947" t="s">
        <v>426</v>
      </c>
      <c r="X103" s="936" t="s">
        <v>505</v>
      </c>
      <c r="Y103" s="930" t="s">
        <v>648</v>
      </c>
      <c r="Z103" s="953"/>
    </row>
    <row r="104" spans="20:26" ht="15" customHeight="1">
      <c r="T104" s="1083" t="s">
        <v>1556</v>
      </c>
      <c r="U104" s="937" t="s">
        <v>451</v>
      </c>
      <c r="V104" s="787" t="s">
        <v>2271</v>
      </c>
      <c r="W104" s="947" t="s">
        <v>427</v>
      </c>
      <c r="X104" s="936" t="s">
        <v>511</v>
      </c>
      <c r="Y104" s="930" t="s">
        <v>648</v>
      </c>
      <c r="Z104" s="953"/>
    </row>
    <row r="105" spans="20:26" ht="15" customHeight="1">
      <c r="T105" s="1083" t="s">
        <v>1557</v>
      </c>
      <c r="U105" s="937" t="s">
        <v>452</v>
      </c>
      <c r="V105" s="787" t="s">
        <v>2271</v>
      </c>
      <c r="W105" s="947" t="s">
        <v>1041</v>
      </c>
      <c r="X105" s="936" t="s">
        <v>508</v>
      </c>
      <c r="Y105" s="943" t="s">
        <v>987</v>
      </c>
      <c r="Z105" s="953"/>
    </row>
    <row r="106" spans="20:26" ht="15" customHeight="1">
      <c r="T106" s="1083" t="s">
        <v>1558</v>
      </c>
      <c r="U106" s="937" t="s">
        <v>453</v>
      </c>
      <c r="V106" s="787" t="s">
        <v>2271</v>
      </c>
      <c r="W106" s="947" t="s">
        <v>1042</v>
      </c>
      <c r="X106" s="936" t="s">
        <v>512</v>
      </c>
      <c r="Y106" s="930" t="s">
        <v>650</v>
      </c>
      <c r="Z106" s="953"/>
    </row>
    <row r="107" spans="20:26" ht="15" customHeight="1">
      <c r="T107" s="1083" t="s">
        <v>1559</v>
      </c>
      <c r="U107" s="937" t="s">
        <v>454</v>
      </c>
      <c r="V107" s="787" t="s">
        <v>2271</v>
      </c>
      <c r="W107" s="952" t="s">
        <v>1043</v>
      </c>
      <c r="X107" s="936" t="s">
        <v>512</v>
      </c>
      <c r="Y107" s="930" t="s">
        <v>650</v>
      </c>
      <c r="Z107" s="953"/>
    </row>
    <row r="108" spans="20:26" ht="15" customHeight="1">
      <c r="T108" s="1083" t="s">
        <v>1560</v>
      </c>
      <c r="U108" s="937" t="s">
        <v>455</v>
      </c>
      <c r="V108" s="787" t="s">
        <v>2271</v>
      </c>
      <c r="W108" s="947" t="s">
        <v>1044</v>
      </c>
      <c r="X108" s="936" t="s">
        <v>507</v>
      </c>
      <c r="Y108" s="930" t="s">
        <v>947</v>
      </c>
      <c r="Z108" s="953"/>
    </row>
    <row r="109" spans="20:26" ht="15" customHeight="1">
      <c r="T109" s="1083" t="s">
        <v>1561</v>
      </c>
      <c r="U109" s="937" t="s">
        <v>456</v>
      </c>
      <c r="V109" s="787" t="s">
        <v>2271</v>
      </c>
      <c r="W109" s="947" t="s">
        <v>1045</v>
      </c>
      <c r="X109" s="936" t="s">
        <v>507</v>
      </c>
      <c r="Y109" s="930" t="s">
        <v>947</v>
      </c>
      <c r="Z109" s="953"/>
    </row>
    <row r="110" spans="20:26" ht="15" customHeight="1">
      <c r="T110" s="1083" t="s">
        <v>1562</v>
      </c>
      <c r="U110" s="937" t="s">
        <v>457</v>
      </c>
      <c r="V110" s="787" t="s">
        <v>2271</v>
      </c>
      <c r="W110" s="952" t="s">
        <v>1046</v>
      </c>
      <c r="X110" s="936" t="s">
        <v>505</v>
      </c>
      <c r="Y110" s="930" t="s">
        <v>947</v>
      </c>
      <c r="Z110" s="953"/>
    </row>
    <row r="111" spans="20:26" ht="15" customHeight="1">
      <c r="T111" s="1083" t="s">
        <v>1563</v>
      </c>
      <c r="U111" s="937" t="s">
        <v>458</v>
      </c>
      <c r="V111" s="935" t="s">
        <v>2266</v>
      </c>
      <c r="W111" s="954" t="s">
        <v>1047</v>
      </c>
      <c r="X111" s="936">
        <v>15</v>
      </c>
      <c r="Y111" s="930" t="s">
        <v>2124</v>
      </c>
      <c r="Z111" s="953"/>
    </row>
    <row r="112" spans="20:26" ht="15" customHeight="1">
      <c r="T112" s="1083" t="s">
        <v>1564</v>
      </c>
      <c r="U112" s="937" t="s">
        <v>491</v>
      </c>
      <c r="V112" s="935" t="s">
        <v>2263</v>
      </c>
      <c r="W112" s="935" t="s">
        <v>1004</v>
      </c>
      <c r="X112" s="936">
        <v>20</v>
      </c>
      <c r="Y112" s="930" t="s">
        <v>2124</v>
      </c>
      <c r="Z112" s="953"/>
    </row>
    <row r="113" spans="20:26" ht="15" customHeight="1">
      <c r="T113" s="1083" t="s">
        <v>1565</v>
      </c>
      <c r="U113" s="937" t="s">
        <v>492</v>
      </c>
      <c r="V113" s="935" t="s">
        <v>2266</v>
      </c>
      <c r="W113" s="950" t="s">
        <v>735</v>
      </c>
      <c r="X113" s="936">
        <v>20</v>
      </c>
      <c r="Y113" s="930" t="s">
        <v>2124</v>
      </c>
      <c r="Z113" s="934"/>
    </row>
    <row r="114" spans="20:26" ht="15" customHeight="1">
      <c r="T114" s="1083" t="s">
        <v>1566</v>
      </c>
      <c r="U114" s="937" t="s">
        <v>493</v>
      </c>
      <c r="V114" s="935" t="s">
        <v>2266</v>
      </c>
      <c r="W114" s="956" t="s">
        <v>736</v>
      </c>
      <c r="X114" s="936">
        <v>20</v>
      </c>
      <c r="Y114" s="930" t="s">
        <v>2124</v>
      </c>
      <c r="Z114" s="934"/>
    </row>
    <row r="115" spans="20:26" ht="15" customHeight="1">
      <c r="T115" s="1083" t="s">
        <v>1567</v>
      </c>
      <c r="U115" s="937" t="s">
        <v>494</v>
      </c>
      <c r="V115" s="935" t="s">
        <v>2266</v>
      </c>
      <c r="W115" s="950" t="s">
        <v>737</v>
      </c>
      <c r="X115" s="936">
        <v>20</v>
      </c>
      <c r="Y115" s="930" t="s">
        <v>2124</v>
      </c>
      <c r="Z115" s="934"/>
    </row>
    <row r="116" spans="20:26" ht="15" customHeight="1">
      <c r="T116" s="1083" t="s">
        <v>1568</v>
      </c>
      <c r="U116" s="937" t="s">
        <v>495</v>
      </c>
      <c r="V116" s="935" t="s">
        <v>2266</v>
      </c>
      <c r="W116" s="950" t="s">
        <v>738</v>
      </c>
      <c r="X116" s="936">
        <v>20</v>
      </c>
      <c r="Y116" s="930" t="s">
        <v>2124</v>
      </c>
      <c r="Z116" s="934"/>
    </row>
    <row r="117" spans="20:26" ht="15" customHeight="1">
      <c r="T117" s="1083" t="s">
        <v>1569</v>
      </c>
      <c r="U117" s="937" t="s">
        <v>496</v>
      </c>
      <c r="V117" s="935" t="s">
        <v>2266</v>
      </c>
      <c r="W117" s="950" t="s">
        <v>739</v>
      </c>
      <c r="X117" s="936">
        <v>20</v>
      </c>
      <c r="Y117" s="930" t="s">
        <v>2124</v>
      </c>
      <c r="Z117" s="934"/>
    </row>
    <row r="118" spans="20:26" ht="15" customHeight="1">
      <c r="T118" s="1083" t="s">
        <v>1570</v>
      </c>
      <c r="U118" s="937" t="s">
        <v>497</v>
      </c>
      <c r="V118" s="935" t="s">
        <v>2266</v>
      </c>
      <c r="W118" s="950" t="s">
        <v>740</v>
      </c>
      <c r="X118" s="936">
        <v>20</v>
      </c>
      <c r="Y118" s="930" t="s">
        <v>2124</v>
      </c>
      <c r="Z118" s="934"/>
    </row>
    <row r="119" spans="20:26" ht="15" customHeight="1">
      <c r="T119" s="1083" t="s">
        <v>1571</v>
      </c>
      <c r="U119" s="937" t="s">
        <v>498</v>
      </c>
      <c r="V119" s="935" t="s">
        <v>2266</v>
      </c>
      <c r="W119" s="950" t="s">
        <v>741</v>
      </c>
      <c r="X119" s="936">
        <v>20</v>
      </c>
      <c r="Y119" s="930" t="s">
        <v>2124</v>
      </c>
      <c r="Z119" s="934"/>
    </row>
    <row r="120" spans="20:26" ht="15" customHeight="1">
      <c r="T120" s="1083" t="s">
        <v>1572</v>
      </c>
      <c r="U120" s="937" t="s">
        <v>499</v>
      </c>
      <c r="V120" s="935" t="s">
        <v>2266</v>
      </c>
      <c r="W120" s="950" t="s">
        <v>428</v>
      </c>
      <c r="X120" s="936">
        <v>20</v>
      </c>
      <c r="Y120" s="930" t="s">
        <v>2124</v>
      </c>
      <c r="Z120" s="934"/>
    </row>
    <row r="121" spans="20:26" ht="15" customHeight="1">
      <c r="T121" s="1083" t="s">
        <v>1573</v>
      </c>
      <c r="U121" s="937" t="s">
        <v>500</v>
      </c>
      <c r="V121" s="935" t="s">
        <v>2266</v>
      </c>
      <c r="W121" s="950" t="s">
        <v>429</v>
      </c>
      <c r="X121" s="936">
        <v>20</v>
      </c>
      <c r="Y121" s="930" t="s">
        <v>2124</v>
      </c>
      <c r="Z121" s="934"/>
    </row>
    <row r="122" spans="20:26" ht="15" customHeight="1">
      <c r="T122" s="1083" t="s">
        <v>1574</v>
      </c>
      <c r="U122" s="937" t="s">
        <v>527</v>
      </c>
      <c r="V122" s="935" t="s">
        <v>2266</v>
      </c>
      <c r="W122" s="950" t="s">
        <v>1970</v>
      </c>
      <c r="X122" s="936">
        <v>20</v>
      </c>
      <c r="Y122" s="930" t="s">
        <v>2124</v>
      </c>
      <c r="Z122" s="934"/>
    </row>
    <row r="123" spans="20:26" ht="15" customHeight="1">
      <c r="T123" s="1083" t="s">
        <v>1575</v>
      </c>
      <c r="U123" s="937" t="s">
        <v>528</v>
      </c>
      <c r="V123" s="935" t="s">
        <v>2266</v>
      </c>
      <c r="W123" s="950" t="s">
        <v>1971</v>
      </c>
      <c r="X123" s="936">
        <v>20</v>
      </c>
      <c r="Y123" s="930" t="s">
        <v>2124</v>
      </c>
      <c r="Z123" s="934"/>
    </row>
    <row r="124" spans="20:26" ht="15" customHeight="1">
      <c r="T124" s="1083" t="s">
        <v>1576</v>
      </c>
      <c r="U124" s="937" t="s">
        <v>529</v>
      </c>
      <c r="V124" s="935" t="s">
        <v>2266</v>
      </c>
      <c r="W124" s="950" t="s">
        <v>1972</v>
      </c>
      <c r="X124" s="936">
        <v>20</v>
      </c>
      <c r="Y124" s="930" t="s">
        <v>2124</v>
      </c>
      <c r="Z124" s="934"/>
    </row>
    <row r="125" spans="20:26" ht="15" customHeight="1">
      <c r="T125" s="1083" t="s">
        <v>1577</v>
      </c>
      <c r="U125" s="937" t="s">
        <v>530</v>
      </c>
      <c r="V125" s="935" t="s">
        <v>2266</v>
      </c>
      <c r="W125" s="950" t="s">
        <v>1973</v>
      </c>
      <c r="X125" s="936">
        <v>20</v>
      </c>
      <c r="Y125" s="930" t="s">
        <v>2124</v>
      </c>
      <c r="Z125" s="934"/>
    </row>
    <row r="126" spans="20:26" ht="15" customHeight="1">
      <c r="T126" s="1083" t="s">
        <v>1578</v>
      </c>
      <c r="U126" s="937" t="s">
        <v>2290</v>
      </c>
      <c r="V126" s="935" t="s">
        <v>2263</v>
      </c>
      <c r="W126" s="935" t="s">
        <v>1005</v>
      </c>
      <c r="X126" s="944" t="s">
        <v>2124</v>
      </c>
      <c r="Y126" s="930" t="s">
        <v>2124</v>
      </c>
      <c r="Z126" s="934"/>
    </row>
    <row r="127" spans="20:26" ht="15" customHeight="1">
      <c r="T127" s="1083" t="s">
        <v>1579</v>
      </c>
      <c r="U127" s="933" t="s">
        <v>374</v>
      </c>
      <c r="V127" s="932" t="s">
        <v>2266</v>
      </c>
      <c r="W127" s="932" t="s">
        <v>513</v>
      </c>
      <c r="X127" s="941">
        <v>60</v>
      </c>
      <c r="Y127" s="930" t="s">
        <v>2124</v>
      </c>
      <c r="Z127" s="934"/>
    </row>
    <row r="128" spans="20:26" ht="15" customHeight="1">
      <c r="T128" s="1083" t="s">
        <v>1580</v>
      </c>
      <c r="U128" s="937" t="s">
        <v>531</v>
      </c>
      <c r="V128" s="935" t="s">
        <v>2266</v>
      </c>
      <c r="W128" s="935" t="s">
        <v>911</v>
      </c>
      <c r="X128" s="936">
        <v>50</v>
      </c>
      <c r="Y128" s="930" t="s">
        <v>2124</v>
      </c>
      <c r="Z128" s="934"/>
    </row>
    <row r="129" spans="20:26" ht="15" customHeight="1">
      <c r="T129" s="1083" t="s">
        <v>1581</v>
      </c>
      <c r="U129" s="937" t="s">
        <v>532</v>
      </c>
      <c r="V129" s="935" t="s">
        <v>2266</v>
      </c>
      <c r="W129" s="935" t="s">
        <v>651</v>
      </c>
      <c r="X129" s="936">
        <v>50</v>
      </c>
      <c r="Y129" s="930" t="s">
        <v>2124</v>
      </c>
      <c r="Z129" s="934"/>
    </row>
    <row r="130" spans="20:26" ht="15" customHeight="1">
      <c r="T130" s="1083" t="s">
        <v>1582</v>
      </c>
      <c r="U130" s="937" t="s">
        <v>533</v>
      </c>
      <c r="V130" s="935" t="s">
        <v>2266</v>
      </c>
      <c r="W130" s="942" t="s">
        <v>1019</v>
      </c>
      <c r="X130" s="936">
        <v>50</v>
      </c>
      <c r="Y130" s="930" t="s">
        <v>2124</v>
      </c>
      <c r="Z130" s="934"/>
    </row>
    <row r="131" spans="20:26" ht="15" customHeight="1">
      <c r="T131" s="1083" t="s">
        <v>1583</v>
      </c>
      <c r="U131" s="937" t="s">
        <v>2282</v>
      </c>
      <c r="V131" s="787" t="s">
        <v>2271</v>
      </c>
      <c r="W131" s="935" t="s">
        <v>1026</v>
      </c>
      <c r="X131" s="936" t="s">
        <v>917</v>
      </c>
      <c r="Y131" s="930" t="s">
        <v>2124</v>
      </c>
      <c r="Z131" s="1103" t="s">
        <v>1887</v>
      </c>
    </row>
    <row r="132" spans="20:26" ht="15" customHeight="1">
      <c r="T132" s="1083" t="s">
        <v>1584</v>
      </c>
      <c r="U132" s="937" t="s">
        <v>2283</v>
      </c>
      <c r="V132" s="787" t="s">
        <v>2266</v>
      </c>
      <c r="W132" s="935" t="s">
        <v>652</v>
      </c>
      <c r="X132" s="936" t="s">
        <v>514</v>
      </c>
      <c r="Y132" s="930" t="s">
        <v>947</v>
      </c>
      <c r="Z132" s="934"/>
    </row>
    <row r="133" spans="20:26" ht="15" customHeight="1">
      <c r="T133" s="1083" t="s">
        <v>1585</v>
      </c>
      <c r="U133" s="937" t="s">
        <v>2284</v>
      </c>
      <c r="V133" s="935" t="s">
        <v>2266</v>
      </c>
      <c r="W133" s="935" t="s">
        <v>1029</v>
      </c>
      <c r="X133" s="936" t="s">
        <v>514</v>
      </c>
      <c r="Y133" s="930" t="s">
        <v>2124</v>
      </c>
      <c r="Z133" s="934"/>
    </row>
    <row r="134" spans="20:26" ht="15" customHeight="1">
      <c r="T134" s="1083" t="s">
        <v>1586</v>
      </c>
      <c r="U134" s="937" t="s">
        <v>534</v>
      </c>
      <c r="V134" s="935" t="s">
        <v>2263</v>
      </c>
      <c r="W134" s="935" t="s">
        <v>653</v>
      </c>
      <c r="X134" s="944" t="s">
        <v>2124</v>
      </c>
      <c r="Y134" s="930" t="s">
        <v>2124</v>
      </c>
      <c r="Z134" s="934"/>
    </row>
    <row r="135" spans="20:26" ht="15" customHeight="1">
      <c r="T135" s="1083" t="s">
        <v>1587</v>
      </c>
      <c r="U135" s="933" t="s">
        <v>2286</v>
      </c>
      <c r="V135" s="787" t="s">
        <v>2271</v>
      </c>
      <c r="W135" s="935" t="s">
        <v>654</v>
      </c>
      <c r="X135" s="936" t="s">
        <v>508</v>
      </c>
      <c r="Y135" s="930" t="s">
        <v>947</v>
      </c>
      <c r="Z135" s="934"/>
    </row>
    <row r="136" spans="20:26" ht="15" customHeight="1">
      <c r="T136" s="1083" t="s">
        <v>1588</v>
      </c>
      <c r="U136" s="937" t="s">
        <v>2287</v>
      </c>
      <c r="V136" s="787" t="s">
        <v>2271</v>
      </c>
      <c r="W136" s="935" t="s">
        <v>655</v>
      </c>
      <c r="X136" s="936" t="s">
        <v>508</v>
      </c>
      <c r="Y136" s="930" t="s">
        <v>947</v>
      </c>
      <c r="Z136" s="934"/>
    </row>
    <row r="137" spans="20:26" ht="15" customHeight="1">
      <c r="T137" s="1083" t="s">
        <v>1589</v>
      </c>
      <c r="U137" s="937" t="s">
        <v>2288</v>
      </c>
      <c r="V137" s="787" t="s">
        <v>2271</v>
      </c>
      <c r="W137" s="935" t="s">
        <v>656</v>
      </c>
      <c r="X137" s="936" t="s">
        <v>508</v>
      </c>
      <c r="Y137" s="930" t="s">
        <v>947</v>
      </c>
      <c r="Z137" s="934"/>
    </row>
    <row r="138" spans="20:26" ht="15" customHeight="1">
      <c r="T138" s="1083" t="s">
        <v>1590</v>
      </c>
      <c r="U138" s="937" t="s">
        <v>535</v>
      </c>
      <c r="V138" s="787" t="s">
        <v>2271</v>
      </c>
      <c r="W138" s="935" t="s">
        <v>657</v>
      </c>
      <c r="X138" s="936" t="s">
        <v>508</v>
      </c>
      <c r="Y138" s="930" t="s">
        <v>947</v>
      </c>
      <c r="Z138" s="934"/>
    </row>
    <row r="139" spans="20:26" ht="15" customHeight="1">
      <c r="T139" s="1083" t="s">
        <v>1591</v>
      </c>
      <c r="U139" s="937" t="s">
        <v>536</v>
      </c>
      <c r="V139" s="935" t="s">
        <v>2266</v>
      </c>
      <c r="W139" s="935" t="s">
        <v>658</v>
      </c>
      <c r="X139" s="936">
        <v>5</v>
      </c>
      <c r="Y139" s="930" t="s">
        <v>2124</v>
      </c>
      <c r="Z139" s="934"/>
    </row>
    <row r="140" spans="20:26" ht="15" customHeight="1">
      <c r="T140" s="1084" t="s">
        <v>914</v>
      </c>
      <c r="U140" s="937" t="s">
        <v>1402</v>
      </c>
      <c r="V140" s="935" t="s">
        <v>2266</v>
      </c>
      <c r="W140" s="942" t="s">
        <v>1404</v>
      </c>
      <c r="X140" s="944" t="s">
        <v>1403</v>
      </c>
      <c r="Y140" s="930" t="s">
        <v>2124</v>
      </c>
      <c r="Z140" s="934"/>
    </row>
    <row r="141" spans="20:26" ht="15" customHeight="1">
      <c r="T141" s="1083" t="s">
        <v>1592</v>
      </c>
      <c r="U141" s="937" t="s">
        <v>537</v>
      </c>
      <c r="V141" s="935" t="s">
        <v>2266</v>
      </c>
      <c r="W141" s="942" t="s">
        <v>1975</v>
      </c>
      <c r="X141" s="944">
        <v>5</v>
      </c>
      <c r="Y141" s="930" t="s">
        <v>2124</v>
      </c>
      <c r="Z141" s="934"/>
    </row>
    <row r="142" spans="20:26" ht="15" customHeight="1">
      <c r="T142" s="1083" t="s">
        <v>1593</v>
      </c>
      <c r="U142" s="957" t="s">
        <v>538</v>
      </c>
      <c r="V142" s="958" t="s">
        <v>2271</v>
      </c>
      <c r="W142" s="1101" t="s">
        <v>504</v>
      </c>
      <c r="X142" s="1102" t="s">
        <v>505</v>
      </c>
      <c r="Y142" s="958" t="s">
        <v>2124</v>
      </c>
      <c r="Z142" s="953"/>
    </row>
    <row r="143" spans="20:26" ht="15" customHeight="1">
      <c r="T143" s="1083" t="s">
        <v>1594</v>
      </c>
      <c r="U143" s="957" t="s">
        <v>539</v>
      </c>
      <c r="V143" s="958" t="s">
        <v>2263</v>
      </c>
      <c r="W143" s="958" t="s">
        <v>370</v>
      </c>
      <c r="X143" s="959" t="s">
        <v>2124</v>
      </c>
      <c r="Y143" s="930" t="s">
        <v>2124</v>
      </c>
      <c r="Z143" s="953"/>
    </row>
    <row r="144" spans="20:26" ht="15" customHeight="1">
      <c r="T144" s="1083" t="s">
        <v>1595</v>
      </c>
      <c r="U144" s="933" t="s">
        <v>2291</v>
      </c>
      <c r="V144" s="932" t="s">
        <v>2266</v>
      </c>
      <c r="W144" s="932" t="s">
        <v>2</v>
      </c>
      <c r="X144" s="941">
        <v>1</v>
      </c>
      <c r="Y144" s="930" t="s">
        <v>2124</v>
      </c>
      <c r="Z144" s="953"/>
    </row>
    <row r="145" spans="20:26" ht="15" customHeight="1">
      <c r="T145" s="1083" t="s">
        <v>1596</v>
      </c>
      <c r="U145" s="937" t="s">
        <v>416</v>
      </c>
      <c r="V145" s="935" t="s">
        <v>2266</v>
      </c>
      <c r="W145" s="935" t="s">
        <v>1049</v>
      </c>
      <c r="X145" s="936">
        <v>1</v>
      </c>
      <c r="Y145" s="930" t="s">
        <v>2124</v>
      </c>
      <c r="Z145" s="953"/>
    </row>
    <row r="146" spans="20:26" ht="15" customHeight="1">
      <c r="T146" s="1083" t="s">
        <v>1597</v>
      </c>
      <c r="U146" s="937" t="s">
        <v>417</v>
      </c>
      <c r="V146" s="935" t="s">
        <v>2266</v>
      </c>
      <c r="W146" s="935" t="s">
        <v>1051</v>
      </c>
      <c r="X146" s="936">
        <v>1</v>
      </c>
      <c r="Y146" s="930" t="s">
        <v>2124</v>
      </c>
      <c r="Z146" s="953"/>
    </row>
    <row r="147" spans="20:26" ht="15" customHeight="1">
      <c r="T147" s="1083" t="s">
        <v>1598</v>
      </c>
      <c r="U147" s="933" t="s">
        <v>540</v>
      </c>
      <c r="V147" s="932" t="s">
        <v>2266</v>
      </c>
      <c r="W147" s="960" t="s">
        <v>660</v>
      </c>
      <c r="X147" s="941">
        <v>1</v>
      </c>
      <c r="Y147" s="930" t="s">
        <v>2124</v>
      </c>
      <c r="Z147" s="953"/>
    </row>
    <row r="148" spans="20:26" ht="15" customHeight="1">
      <c r="T148" s="1083" t="s">
        <v>1599</v>
      </c>
      <c r="U148" s="937" t="s">
        <v>541</v>
      </c>
      <c r="V148" s="935" t="s">
        <v>2266</v>
      </c>
      <c r="W148" s="938" t="s">
        <v>1050</v>
      </c>
      <c r="X148" s="936">
        <v>1</v>
      </c>
      <c r="Y148" s="930" t="s">
        <v>2124</v>
      </c>
      <c r="Z148" s="961"/>
    </row>
    <row r="149" spans="20:26" ht="15" customHeight="1">
      <c r="T149" s="1083" t="s">
        <v>1600</v>
      </c>
      <c r="U149" s="937" t="s">
        <v>542</v>
      </c>
      <c r="V149" s="935" t="s">
        <v>2266</v>
      </c>
      <c r="W149" s="938" t="s">
        <v>1052</v>
      </c>
      <c r="X149" s="936">
        <v>1</v>
      </c>
      <c r="Y149" s="930" t="s">
        <v>2124</v>
      </c>
      <c r="Z149" s="953"/>
    </row>
    <row r="150" spans="20:26" ht="15" customHeight="1">
      <c r="T150" s="1083" t="s">
        <v>1601</v>
      </c>
      <c r="U150" s="937" t="s">
        <v>543</v>
      </c>
      <c r="V150" s="935" t="s">
        <v>2266</v>
      </c>
      <c r="W150" s="935" t="s">
        <v>659</v>
      </c>
      <c r="X150" s="936">
        <v>5</v>
      </c>
      <c r="Y150" s="930" t="s">
        <v>947</v>
      </c>
      <c r="Z150" s="953"/>
    </row>
    <row r="151" spans="20:26" ht="15" customHeight="1">
      <c r="T151" s="1083" t="s">
        <v>1602</v>
      </c>
      <c r="U151" s="937" t="s">
        <v>544</v>
      </c>
      <c r="V151" s="935" t="s">
        <v>2263</v>
      </c>
      <c r="W151" s="938" t="s">
        <v>369</v>
      </c>
      <c r="X151" s="936" t="s">
        <v>2124</v>
      </c>
      <c r="Y151" s="930" t="s">
        <v>2124</v>
      </c>
      <c r="Z151" s="953"/>
    </row>
    <row r="152" spans="20:26" ht="15" customHeight="1">
      <c r="T152" s="1083" t="s">
        <v>1603</v>
      </c>
      <c r="U152" s="933" t="s">
        <v>545</v>
      </c>
      <c r="V152" s="787" t="s">
        <v>2271</v>
      </c>
      <c r="W152" s="938" t="s">
        <v>661</v>
      </c>
      <c r="X152" s="936" t="s">
        <v>508</v>
      </c>
      <c r="Y152" s="930" t="s">
        <v>947</v>
      </c>
      <c r="Z152" s="953"/>
    </row>
    <row r="153" spans="20:26" ht="15" customHeight="1">
      <c r="T153" s="1083" t="s">
        <v>1604</v>
      </c>
      <c r="U153" s="933" t="s">
        <v>546</v>
      </c>
      <c r="V153" s="787" t="s">
        <v>2266</v>
      </c>
      <c r="W153" s="962" t="s">
        <v>1264</v>
      </c>
      <c r="X153" s="936">
        <v>5</v>
      </c>
      <c r="Y153" s="930" t="s">
        <v>947</v>
      </c>
      <c r="Z153" s="953"/>
    </row>
    <row r="154" spans="20:26" ht="15" customHeight="1">
      <c r="T154" s="1083" t="s">
        <v>1605</v>
      </c>
      <c r="U154" s="933" t="s">
        <v>2285</v>
      </c>
      <c r="V154" s="960" t="s">
        <v>2266</v>
      </c>
      <c r="W154" s="960" t="s">
        <v>1267</v>
      </c>
      <c r="X154" s="941">
        <v>30</v>
      </c>
      <c r="Y154" s="930" t="s">
        <v>2124</v>
      </c>
      <c r="Z154" s="953"/>
    </row>
    <row r="155" spans="20:26" ht="15" customHeight="1">
      <c r="T155" s="1083" t="s">
        <v>1606</v>
      </c>
      <c r="U155" s="937" t="s">
        <v>547</v>
      </c>
      <c r="V155" s="787" t="s">
        <v>2271</v>
      </c>
      <c r="W155" s="962" t="s">
        <v>12</v>
      </c>
      <c r="X155" s="936" t="s">
        <v>508</v>
      </c>
      <c r="Y155" s="930" t="s">
        <v>947</v>
      </c>
      <c r="Z155" s="961"/>
    </row>
    <row r="156" spans="20:26" ht="15" customHeight="1">
      <c r="T156" s="1083" t="s">
        <v>1607</v>
      </c>
      <c r="U156" s="937" t="s">
        <v>548</v>
      </c>
      <c r="V156" s="787" t="s">
        <v>2271</v>
      </c>
      <c r="W156" s="962" t="s">
        <v>11</v>
      </c>
      <c r="X156" s="936" t="s">
        <v>508</v>
      </c>
      <c r="Y156" s="930" t="s">
        <v>947</v>
      </c>
      <c r="Z156" s="953"/>
    </row>
    <row r="157" spans="20:26" ht="15" customHeight="1">
      <c r="T157" s="1083" t="s">
        <v>1608</v>
      </c>
      <c r="U157" s="937" t="s">
        <v>549</v>
      </c>
      <c r="V157" s="787" t="s">
        <v>2271</v>
      </c>
      <c r="W157" s="962" t="s">
        <v>10</v>
      </c>
      <c r="X157" s="936" t="s">
        <v>510</v>
      </c>
      <c r="Y157" s="930" t="s">
        <v>947</v>
      </c>
      <c r="Z157" s="961"/>
    </row>
    <row r="158" spans="20:26" ht="15" customHeight="1">
      <c r="T158" s="1083" t="s">
        <v>1609</v>
      </c>
      <c r="U158" s="937" t="s">
        <v>551</v>
      </c>
      <c r="V158" s="787" t="s">
        <v>2271</v>
      </c>
      <c r="W158" s="962" t="s">
        <v>9</v>
      </c>
      <c r="X158" s="936" t="s">
        <v>510</v>
      </c>
      <c r="Y158" s="930" t="s">
        <v>947</v>
      </c>
      <c r="Z158" s="961"/>
    </row>
    <row r="159" spans="20:26" ht="15" customHeight="1">
      <c r="T159" s="1083" t="s">
        <v>1610</v>
      </c>
      <c r="U159" s="937" t="s">
        <v>552</v>
      </c>
      <c r="V159" s="787" t="s">
        <v>2271</v>
      </c>
      <c r="W159" s="962" t="s">
        <v>8</v>
      </c>
      <c r="X159" s="936" t="s">
        <v>510</v>
      </c>
      <c r="Y159" s="930" t="s">
        <v>889</v>
      </c>
      <c r="Z159" s="961"/>
    </row>
    <row r="160" spans="20:26" ht="15" customHeight="1">
      <c r="T160" s="1083" t="s">
        <v>1611</v>
      </c>
      <c r="U160" s="937" t="s">
        <v>553</v>
      </c>
      <c r="V160" s="787" t="s">
        <v>2271</v>
      </c>
      <c r="W160" s="962" t="s">
        <v>350</v>
      </c>
      <c r="X160" s="936" t="s">
        <v>507</v>
      </c>
      <c r="Y160" s="930" t="s">
        <v>889</v>
      </c>
      <c r="Z160" s="961"/>
    </row>
    <row r="161" spans="20:26" ht="15" customHeight="1">
      <c r="T161" s="1083" t="s">
        <v>1612</v>
      </c>
      <c r="U161" s="933" t="s">
        <v>554</v>
      </c>
      <c r="V161" s="787" t="s">
        <v>2271</v>
      </c>
      <c r="W161" s="962" t="s">
        <v>345</v>
      </c>
      <c r="X161" s="936" t="s">
        <v>508</v>
      </c>
      <c r="Y161" s="930" t="s">
        <v>947</v>
      </c>
      <c r="Z161" s="961"/>
    </row>
    <row r="162" spans="20:26" ht="15" customHeight="1">
      <c r="T162" s="1083" t="s">
        <v>1613</v>
      </c>
      <c r="U162" s="963" t="s">
        <v>555</v>
      </c>
      <c r="V162" s="787" t="s">
        <v>2271</v>
      </c>
      <c r="W162" s="962" t="s">
        <v>346</v>
      </c>
      <c r="X162" s="936" t="s">
        <v>508</v>
      </c>
      <c r="Y162" s="930" t="s">
        <v>947</v>
      </c>
      <c r="Z162" s="953"/>
    </row>
    <row r="163" spans="20:26" ht="15" customHeight="1">
      <c r="T163" s="1083" t="s">
        <v>1614</v>
      </c>
      <c r="U163" s="963" t="s">
        <v>556</v>
      </c>
      <c r="V163" s="787" t="s">
        <v>2271</v>
      </c>
      <c r="W163" s="962" t="s">
        <v>347</v>
      </c>
      <c r="X163" s="936" t="s">
        <v>510</v>
      </c>
      <c r="Y163" s="930" t="s">
        <v>947</v>
      </c>
      <c r="Z163" s="953"/>
    </row>
    <row r="164" spans="20:26" ht="15" customHeight="1">
      <c r="T164" s="1083" t="s">
        <v>1615</v>
      </c>
      <c r="U164" s="963" t="s">
        <v>557</v>
      </c>
      <c r="V164" s="787" t="s">
        <v>2271</v>
      </c>
      <c r="W164" s="962" t="s">
        <v>348</v>
      </c>
      <c r="X164" s="936" t="s">
        <v>510</v>
      </c>
      <c r="Y164" s="930" t="s">
        <v>889</v>
      </c>
      <c r="Z164" s="953"/>
    </row>
    <row r="165" spans="20:26" ht="15" customHeight="1">
      <c r="T165" s="1083" t="s">
        <v>1616</v>
      </c>
      <c r="U165" s="963" t="s">
        <v>558</v>
      </c>
      <c r="V165" s="787" t="s">
        <v>2271</v>
      </c>
      <c r="W165" s="962" t="s">
        <v>349</v>
      </c>
      <c r="X165" s="936" t="s">
        <v>510</v>
      </c>
      <c r="Y165" s="930" t="s">
        <v>889</v>
      </c>
      <c r="Z165" s="934"/>
    </row>
    <row r="166" spans="20:26" ht="15" customHeight="1">
      <c r="T166" s="1083" t="s">
        <v>1617</v>
      </c>
      <c r="U166" s="963" t="s">
        <v>559</v>
      </c>
      <c r="V166" s="787" t="s">
        <v>2271</v>
      </c>
      <c r="W166" s="962" t="s">
        <v>351</v>
      </c>
      <c r="X166" s="936" t="s">
        <v>507</v>
      </c>
      <c r="Y166" s="964" t="s">
        <v>947</v>
      </c>
      <c r="Z166" s="934"/>
    </row>
    <row r="167" spans="20:26" ht="15" customHeight="1">
      <c r="T167" s="1083" t="s">
        <v>1618</v>
      </c>
      <c r="U167" s="963" t="s">
        <v>560</v>
      </c>
      <c r="V167" s="965" t="s">
        <v>2263</v>
      </c>
      <c r="W167" s="962" t="s">
        <v>362</v>
      </c>
      <c r="X167" s="966" t="s">
        <v>2124</v>
      </c>
      <c r="Y167" s="930" t="s">
        <v>2124</v>
      </c>
      <c r="Z167" s="934"/>
    </row>
    <row r="168" spans="20:26" ht="15" customHeight="1">
      <c r="T168" s="1083" t="s">
        <v>1619</v>
      </c>
      <c r="U168" s="933" t="s">
        <v>561</v>
      </c>
      <c r="V168" s="932" t="s">
        <v>2266</v>
      </c>
      <c r="W168" s="962" t="s">
        <v>942</v>
      </c>
      <c r="X168" s="936">
        <v>10</v>
      </c>
      <c r="Y168" s="930" t="s">
        <v>2124</v>
      </c>
      <c r="Z168" s="934"/>
    </row>
    <row r="169" spans="20:26" ht="15" customHeight="1">
      <c r="T169" s="1083" t="s">
        <v>1620</v>
      </c>
      <c r="U169" s="937" t="s">
        <v>562</v>
      </c>
      <c r="V169" s="935" t="s">
        <v>2266</v>
      </c>
      <c r="W169" s="967" t="s">
        <v>1978</v>
      </c>
      <c r="X169" s="936">
        <v>10</v>
      </c>
      <c r="Y169" s="930" t="s">
        <v>2124</v>
      </c>
      <c r="Z169" s="934"/>
    </row>
    <row r="170" spans="20:26" ht="15" customHeight="1">
      <c r="T170" s="1083" t="s">
        <v>1621</v>
      </c>
      <c r="U170" s="937" t="s">
        <v>563</v>
      </c>
      <c r="V170" s="935" t="s">
        <v>2266</v>
      </c>
      <c r="W170" s="967" t="s">
        <v>1979</v>
      </c>
      <c r="X170" s="936">
        <v>10</v>
      </c>
      <c r="Y170" s="930" t="s">
        <v>2124</v>
      </c>
      <c r="Z170" s="934"/>
    </row>
    <row r="171" spans="20:26" ht="15" customHeight="1">
      <c r="T171" s="1083" t="s">
        <v>1622</v>
      </c>
      <c r="U171" s="937" t="s">
        <v>564</v>
      </c>
      <c r="V171" s="935" t="s">
        <v>2266</v>
      </c>
      <c r="W171" s="967" t="s">
        <v>1980</v>
      </c>
      <c r="X171" s="936">
        <v>10</v>
      </c>
      <c r="Y171" s="930" t="s">
        <v>2124</v>
      </c>
      <c r="Z171" s="934"/>
    </row>
    <row r="172" spans="20:26" ht="15" customHeight="1">
      <c r="T172" s="1083" t="s">
        <v>1623</v>
      </c>
      <c r="U172" s="937" t="s">
        <v>565</v>
      </c>
      <c r="V172" s="935" t="s">
        <v>2266</v>
      </c>
      <c r="W172" s="967" t="s">
        <v>1981</v>
      </c>
      <c r="X172" s="936">
        <v>10</v>
      </c>
      <c r="Y172" s="930" t="s">
        <v>2124</v>
      </c>
      <c r="Z172" s="934"/>
    </row>
    <row r="173" spans="20:26" ht="15" customHeight="1">
      <c r="T173" s="1083" t="s">
        <v>1624</v>
      </c>
      <c r="U173" s="937" t="s">
        <v>566</v>
      </c>
      <c r="V173" s="935" t="s">
        <v>2266</v>
      </c>
      <c r="W173" s="967" t="s">
        <v>1982</v>
      </c>
      <c r="X173" s="936">
        <v>10</v>
      </c>
      <c r="Y173" s="930" t="s">
        <v>2124</v>
      </c>
      <c r="Z173" s="934"/>
    </row>
    <row r="174" spans="20:26" ht="15" customHeight="1">
      <c r="T174" s="1083" t="s">
        <v>1625</v>
      </c>
      <c r="U174" s="933" t="s">
        <v>567</v>
      </c>
      <c r="V174" s="932" t="s">
        <v>2266</v>
      </c>
      <c r="W174" s="960" t="s">
        <v>943</v>
      </c>
      <c r="X174" s="941">
        <v>75</v>
      </c>
      <c r="Y174" s="930" t="s">
        <v>2124</v>
      </c>
      <c r="Z174" s="934"/>
    </row>
    <row r="175" spans="20:26" ht="15" customHeight="1">
      <c r="T175" s="1083" t="s">
        <v>1626</v>
      </c>
      <c r="U175" s="937" t="s">
        <v>568</v>
      </c>
      <c r="V175" s="935" t="s">
        <v>2266</v>
      </c>
      <c r="W175" s="968" t="s">
        <v>1983</v>
      </c>
      <c r="X175" s="936">
        <v>75</v>
      </c>
      <c r="Y175" s="930" t="s">
        <v>2124</v>
      </c>
      <c r="Z175" s="934"/>
    </row>
    <row r="176" spans="20:26" ht="15" customHeight="1">
      <c r="T176" s="1083" t="s">
        <v>1627</v>
      </c>
      <c r="U176" s="937" t="s">
        <v>569</v>
      </c>
      <c r="V176" s="935" t="s">
        <v>2266</v>
      </c>
      <c r="W176" s="968" t="s">
        <v>1984</v>
      </c>
      <c r="X176" s="936">
        <v>75</v>
      </c>
      <c r="Y176" s="930" t="s">
        <v>2124</v>
      </c>
      <c r="Z176" s="934"/>
    </row>
    <row r="177" spans="20:26" ht="15" customHeight="1">
      <c r="T177" s="1083" t="s">
        <v>1628</v>
      </c>
      <c r="U177" s="937" t="s">
        <v>570</v>
      </c>
      <c r="V177" s="935" t="s">
        <v>2266</v>
      </c>
      <c r="W177" s="968" t="s">
        <v>2013</v>
      </c>
      <c r="X177" s="936">
        <v>75</v>
      </c>
      <c r="Y177" s="930" t="s">
        <v>2124</v>
      </c>
      <c r="Z177" s="934"/>
    </row>
    <row r="178" spans="20:26" ht="15" customHeight="1">
      <c r="T178" s="1083" t="s">
        <v>1629</v>
      </c>
      <c r="U178" s="937" t="s">
        <v>571</v>
      </c>
      <c r="V178" s="935" t="s">
        <v>2266</v>
      </c>
      <c r="W178" s="968" t="s">
        <v>2014</v>
      </c>
      <c r="X178" s="936">
        <v>75</v>
      </c>
      <c r="Y178" s="930" t="s">
        <v>2124</v>
      </c>
      <c r="Z178" s="934"/>
    </row>
    <row r="179" spans="20:26" ht="15" customHeight="1">
      <c r="T179" s="1083" t="s">
        <v>1630</v>
      </c>
      <c r="U179" s="937" t="s">
        <v>572</v>
      </c>
      <c r="V179" s="935" t="s">
        <v>2266</v>
      </c>
      <c r="W179" s="968" t="s">
        <v>868</v>
      </c>
      <c r="X179" s="936">
        <v>75</v>
      </c>
      <c r="Y179" s="930" t="s">
        <v>2124</v>
      </c>
      <c r="Z179" s="934"/>
    </row>
    <row r="180" spans="20:26" ht="15" customHeight="1">
      <c r="T180" s="1083" t="s">
        <v>1631</v>
      </c>
      <c r="U180" s="933" t="s">
        <v>573</v>
      </c>
      <c r="V180" s="932" t="s">
        <v>2266</v>
      </c>
      <c r="W180" s="960" t="s">
        <v>662</v>
      </c>
      <c r="X180" s="941">
        <v>10</v>
      </c>
      <c r="Y180" s="930" t="s">
        <v>2124</v>
      </c>
      <c r="Z180" s="934"/>
    </row>
    <row r="181" spans="20:26" ht="15" customHeight="1">
      <c r="T181" s="1083" t="s">
        <v>1632</v>
      </c>
      <c r="U181" s="937" t="s">
        <v>574</v>
      </c>
      <c r="V181" s="935" t="s">
        <v>2266</v>
      </c>
      <c r="W181" s="968" t="s">
        <v>869</v>
      </c>
      <c r="X181" s="936">
        <v>10</v>
      </c>
      <c r="Y181" s="930" t="s">
        <v>2124</v>
      </c>
      <c r="Z181" s="934"/>
    </row>
    <row r="182" spans="20:26" ht="15" customHeight="1">
      <c r="T182" s="1083" t="s">
        <v>1633</v>
      </c>
      <c r="U182" s="937" t="s">
        <v>575</v>
      </c>
      <c r="V182" s="935" t="s">
        <v>2266</v>
      </c>
      <c r="W182" s="968" t="s">
        <v>870</v>
      </c>
      <c r="X182" s="936">
        <v>10</v>
      </c>
      <c r="Y182" s="930" t="s">
        <v>2124</v>
      </c>
      <c r="Z182" s="934"/>
    </row>
    <row r="183" spans="20:26" ht="15" customHeight="1">
      <c r="T183" s="1083" t="s">
        <v>1634</v>
      </c>
      <c r="U183" s="937" t="s">
        <v>576</v>
      </c>
      <c r="V183" s="935" t="s">
        <v>2266</v>
      </c>
      <c r="W183" s="968" t="s">
        <v>871</v>
      </c>
      <c r="X183" s="936">
        <v>10</v>
      </c>
      <c r="Y183" s="930" t="s">
        <v>2124</v>
      </c>
      <c r="Z183" s="934"/>
    </row>
    <row r="184" spans="20:26" ht="15" customHeight="1">
      <c r="T184" s="1083" t="s">
        <v>1635</v>
      </c>
      <c r="U184" s="937" t="s">
        <v>577</v>
      </c>
      <c r="V184" s="935" t="s">
        <v>2266</v>
      </c>
      <c r="W184" s="968" t="s">
        <v>872</v>
      </c>
      <c r="X184" s="936">
        <v>10</v>
      </c>
      <c r="Y184" s="930" t="s">
        <v>2124</v>
      </c>
      <c r="Z184" s="934"/>
    </row>
    <row r="185" spans="20:26" ht="15" customHeight="1">
      <c r="T185" s="1083" t="s">
        <v>1636</v>
      </c>
      <c r="U185" s="937" t="s">
        <v>578</v>
      </c>
      <c r="V185" s="935" t="s">
        <v>2266</v>
      </c>
      <c r="W185" s="968" t="s">
        <v>873</v>
      </c>
      <c r="X185" s="936">
        <v>10</v>
      </c>
      <c r="Y185" s="930" t="s">
        <v>2124</v>
      </c>
      <c r="Z185" s="934"/>
    </row>
    <row r="186" spans="20:26" ht="15" customHeight="1">
      <c r="T186" s="1083" t="s">
        <v>1637</v>
      </c>
      <c r="U186" s="933" t="s">
        <v>579</v>
      </c>
      <c r="V186" s="932" t="s">
        <v>2266</v>
      </c>
      <c r="W186" s="960" t="s">
        <v>945</v>
      </c>
      <c r="X186" s="941">
        <v>25</v>
      </c>
      <c r="Y186" s="930" t="s">
        <v>2124</v>
      </c>
      <c r="Z186" s="934"/>
    </row>
    <row r="187" spans="20:26" ht="15" customHeight="1">
      <c r="T187" s="1083" t="s">
        <v>1638</v>
      </c>
      <c r="U187" s="937" t="s">
        <v>580</v>
      </c>
      <c r="V187" s="935" t="s">
        <v>2266</v>
      </c>
      <c r="W187" s="968" t="s">
        <v>874</v>
      </c>
      <c r="X187" s="936">
        <v>25</v>
      </c>
      <c r="Y187" s="930" t="s">
        <v>2124</v>
      </c>
      <c r="Z187" s="939"/>
    </row>
    <row r="188" spans="20:26" ht="15" customHeight="1">
      <c r="T188" s="1083" t="s">
        <v>1639</v>
      </c>
      <c r="U188" s="937" t="s">
        <v>581</v>
      </c>
      <c r="V188" s="935" t="s">
        <v>2266</v>
      </c>
      <c r="W188" s="968" t="s">
        <v>875</v>
      </c>
      <c r="X188" s="936">
        <v>25</v>
      </c>
      <c r="Y188" s="930" t="s">
        <v>2124</v>
      </c>
      <c r="Z188" s="934"/>
    </row>
    <row r="189" spans="20:26" ht="15" customHeight="1">
      <c r="T189" s="1083" t="s">
        <v>1640</v>
      </c>
      <c r="U189" s="937" t="s">
        <v>582</v>
      </c>
      <c r="V189" s="935" t="s">
        <v>2266</v>
      </c>
      <c r="W189" s="968" t="s">
        <v>876</v>
      </c>
      <c r="X189" s="936">
        <v>25</v>
      </c>
      <c r="Y189" s="930" t="s">
        <v>2124</v>
      </c>
      <c r="Z189" s="934"/>
    </row>
    <row r="190" spans="20:26" ht="15" customHeight="1">
      <c r="T190" s="1083" t="s">
        <v>1644</v>
      </c>
      <c r="U190" s="937" t="s">
        <v>583</v>
      </c>
      <c r="V190" s="935" t="s">
        <v>2266</v>
      </c>
      <c r="W190" s="968" t="s">
        <v>877</v>
      </c>
      <c r="X190" s="936">
        <v>25</v>
      </c>
      <c r="Y190" s="930" t="s">
        <v>2124</v>
      </c>
      <c r="Z190" s="934"/>
    </row>
    <row r="191" spans="20:26" ht="15" customHeight="1">
      <c r="T191" s="1083" t="s">
        <v>1645</v>
      </c>
      <c r="U191" s="937" t="s">
        <v>584</v>
      </c>
      <c r="V191" s="935" t="s">
        <v>2266</v>
      </c>
      <c r="W191" s="968" t="s">
        <v>878</v>
      </c>
      <c r="X191" s="936">
        <v>25</v>
      </c>
      <c r="Y191" s="930" t="s">
        <v>2124</v>
      </c>
      <c r="Z191" s="969"/>
    </row>
    <row r="192" spans="20:26" ht="15" customHeight="1">
      <c r="T192" s="1083" t="s">
        <v>1646</v>
      </c>
      <c r="U192" s="933" t="s">
        <v>585</v>
      </c>
      <c r="V192" s="787" t="s">
        <v>2271</v>
      </c>
      <c r="W192" s="938" t="s">
        <v>430</v>
      </c>
      <c r="X192" s="936" t="s">
        <v>505</v>
      </c>
      <c r="Y192" s="930" t="s">
        <v>2124</v>
      </c>
      <c r="Z192" s="953"/>
    </row>
    <row r="193" spans="20:26" ht="15" customHeight="1">
      <c r="T193" s="1083" t="s">
        <v>1647</v>
      </c>
      <c r="U193" s="937" t="s">
        <v>586</v>
      </c>
      <c r="V193" s="787" t="s">
        <v>2271</v>
      </c>
      <c r="W193" s="968" t="s">
        <v>431</v>
      </c>
      <c r="X193" s="936" t="s">
        <v>505</v>
      </c>
      <c r="Y193" s="930" t="s">
        <v>2124</v>
      </c>
      <c r="Z193" s="934"/>
    </row>
    <row r="194" spans="20:26" ht="15" customHeight="1">
      <c r="T194" s="1083" t="s">
        <v>1648</v>
      </c>
      <c r="U194" s="937" t="s">
        <v>587</v>
      </c>
      <c r="V194" s="787" t="s">
        <v>2271</v>
      </c>
      <c r="W194" s="968" t="s">
        <v>432</v>
      </c>
      <c r="X194" s="936" t="s">
        <v>505</v>
      </c>
      <c r="Y194" s="930" t="s">
        <v>2124</v>
      </c>
      <c r="Z194" s="934"/>
    </row>
    <row r="195" spans="20:26" ht="15" customHeight="1">
      <c r="T195" s="1083" t="s">
        <v>1649</v>
      </c>
      <c r="U195" s="937" t="s">
        <v>588</v>
      </c>
      <c r="V195" s="787" t="s">
        <v>2271</v>
      </c>
      <c r="W195" s="968" t="s">
        <v>433</v>
      </c>
      <c r="X195" s="936" t="s">
        <v>505</v>
      </c>
      <c r="Y195" s="930" t="s">
        <v>2124</v>
      </c>
      <c r="Z195" s="934"/>
    </row>
    <row r="196" spans="20:26" ht="15" customHeight="1">
      <c r="T196" s="1083" t="s">
        <v>1650</v>
      </c>
      <c r="U196" s="937" t="s">
        <v>589</v>
      </c>
      <c r="V196" s="787" t="s">
        <v>2271</v>
      </c>
      <c r="W196" s="968" t="s">
        <v>434</v>
      </c>
      <c r="X196" s="936" t="s">
        <v>505</v>
      </c>
      <c r="Y196" s="930" t="s">
        <v>2124</v>
      </c>
      <c r="Z196" s="934"/>
    </row>
    <row r="197" spans="20:26" ht="15" customHeight="1">
      <c r="T197" s="1083" t="s">
        <v>1651</v>
      </c>
      <c r="U197" s="937" t="s">
        <v>590</v>
      </c>
      <c r="V197" s="787" t="s">
        <v>2271</v>
      </c>
      <c r="W197" s="968" t="s">
        <v>435</v>
      </c>
      <c r="X197" s="936" t="s">
        <v>505</v>
      </c>
      <c r="Y197" s="930" t="s">
        <v>2124</v>
      </c>
      <c r="Z197" s="934"/>
    </row>
    <row r="198" spans="20:26" ht="15" customHeight="1">
      <c r="T198" s="1083" t="s">
        <v>1652</v>
      </c>
      <c r="U198" s="933" t="s">
        <v>591</v>
      </c>
      <c r="V198" s="787" t="s">
        <v>2271</v>
      </c>
      <c r="W198" s="938" t="s">
        <v>947</v>
      </c>
      <c r="X198" s="936" t="s">
        <v>501</v>
      </c>
      <c r="Y198" s="930" t="s">
        <v>947</v>
      </c>
      <c r="Z198" s="934"/>
    </row>
    <row r="199" spans="20:26" ht="15" customHeight="1">
      <c r="T199" s="1083" t="s">
        <v>1653</v>
      </c>
      <c r="U199" s="937" t="s">
        <v>592</v>
      </c>
      <c r="V199" s="787" t="s">
        <v>2271</v>
      </c>
      <c r="W199" s="968" t="s">
        <v>879</v>
      </c>
      <c r="X199" s="936" t="s">
        <v>501</v>
      </c>
      <c r="Y199" s="930" t="s">
        <v>947</v>
      </c>
      <c r="Z199" s="934"/>
    </row>
    <row r="200" spans="20:26" ht="15" customHeight="1">
      <c r="T200" s="1083" t="s">
        <v>1654</v>
      </c>
      <c r="U200" s="937" t="s">
        <v>593</v>
      </c>
      <c r="V200" s="787" t="s">
        <v>2271</v>
      </c>
      <c r="W200" s="968" t="s">
        <v>880</v>
      </c>
      <c r="X200" s="936" t="s">
        <v>501</v>
      </c>
      <c r="Y200" s="930" t="s">
        <v>947</v>
      </c>
      <c r="Z200" s="953"/>
    </row>
    <row r="201" spans="20:26" ht="15" customHeight="1">
      <c r="T201" s="1083" t="s">
        <v>1655</v>
      </c>
      <c r="U201" s="937" t="s">
        <v>594</v>
      </c>
      <c r="V201" s="787" t="s">
        <v>2271</v>
      </c>
      <c r="W201" s="968" t="s">
        <v>881</v>
      </c>
      <c r="X201" s="936" t="s">
        <v>501</v>
      </c>
      <c r="Y201" s="930" t="s">
        <v>947</v>
      </c>
      <c r="Z201" s="953"/>
    </row>
    <row r="202" spans="20:26" ht="15" customHeight="1">
      <c r="T202" s="1083" t="s">
        <v>1656</v>
      </c>
      <c r="U202" s="937" t="s">
        <v>595</v>
      </c>
      <c r="V202" s="787" t="s">
        <v>2271</v>
      </c>
      <c r="W202" s="968" t="s">
        <v>882</v>
      </c>
      <c r="X202" s="936" t="s">
        <v>501</v>
      </c>
      <c r="Y202" s="930" t="s">
        <v>947</v>
      </c>
      <c r="Z202" s="953"/>
    </row>
    <row r="203" spans="20:26" ht="15" customHeight="1">
      <c r="T203" s="1083" t="s">
        <v>1657</v>
      </c>
      <c r="U203" s="937" t="s">
        <v>596</v>
      </c>
      <c r="V203" s="787" t="s">
        <v>2271</v>
      </c>
      <c r="W203" s="968" t="s">
        <v>883</v>
      </c>
      <c r="X203" s="936" t="s">
        <v>501</v>
      </c>
      <c r="Y203" s="930" t="s">
        <v>947</v>
      </c>
      <c r="Z203" s="953"/>
    </row>
    <row r="204" spans="20:26" ht="15" customHeight="1">
      <c r="T204" s="1083" t="s">
        <v>1658</v>
      </c>
      <c r="U204" s="933" t="s">
        <v>597</v>
      </c>
      <c r="V204" s="932" t="s">
        <v>2266</v>
      </c>
      <c r="W204" s="960" t="s">
        <v>2257</v>
      </c>
      <c r="X204" s="941">
        <v>1</v>
      </c>
      <c r="Y204" s="930" t="s">
        <v>2124</v>
      </c>
      <c r="Z204" s="934"/>
    </row>
    <row r="205" spans="20:26" ht="15" customHeight="1">
      <c r="T205" s="1083" t="s">
        <v>1659</v>
      </c>
      <c r="U205" s="937" t="s">
        <v>598</v>
      </c>
      <c r="V205" s="935" t="s">
        <v>2266</v>
      </c>
      <c r="W205" s="968" t="s">
        <v>895</v>
      </c>
      <c r="X205" s="936">
        <v>1</v>
      </c>
      <c r="Y205" s="930" t="s">
        <v>2124</v>
      </c>
      <c r="Z205" s="934"/>
    </row>
    <row r="206" spans="20:26" ht="15" customHeight="1">
      <c r="T206" s="1083" t="s">
        <v>1660</v>
      </c>
      <c r="U206" s="937" t="s">
        <v>599</v>
      </c>
      <c r="V206" s="935" t="s">
        <v>2266</v>
      </c>
      <c r="W206" s="968" t="s">
        <v>896</v>
      </c>
      <c r="X206" s="936">
        <v>1</v>
      </c>
      <c r="Y206" s="930" t="s">
        <v>2124</v>
      </c>
      <c r="Z206" s="939"/>
    </row>
    <row r="207" spans="20:26" ht="15" customHeight="1">
      <c r="T207" s="1083" t="s">
        <v>1661</v>
      </c>
      <c r="U207" s="937" t="s">
        <v>600</v>
      </c>
      <c r="V207" s="935" t="s">
        <v>2266</v>
      </c>
      <c r="W207" s="968" t="s">
        <v>897</v>
      </c>
      <c r="X207" s="936">
        <v>1</v>
      </c>
      <c r="Y207" s="930" t="s">
        <v>2124</v>
      </c>
      <c r="Z207" s="939"/>
    </row>
    <row r="208" spans="20:26" ht="15" customHeight="1">
      <c r="T208" s="1083" t="s">
        <v>1662</v>
      </c>
      <c r="U208" s="937" t="s">
        <v>601</v>
      </c>
      <c r="V208" s="935" t="s">
        <v>2266</v>
      </c>
      <c r="W208" s="968" t="s">
        <v>898</v>
      </c>
      <c r="X208" s="936">
        <v>1</v>
      </c>
      <c r="Y208" s="930" t="s">
        <v>2124</v>
      </c>
      <c r="Z208" s="934"/>
    </row>
    <row r="209" spans="20:26" ht="15" customHeight="1">
      <c r="T209" s="1083" t="s">
        <v>1663</v>
      </c>
      <c r="U209" s="937" t="s">
        <v>602</v>
      </c>
      <c r="V209" s="935" t="s">
        <v>2266</v>
      </c>
      <c r="W209" s="968" t="s">
        <v>899</v>
      </c>
      <c r="X209" s="936">
        <v>1</v>
      </c>
      <c r="Y209" s="930" t="s">
        <v>2124</v>
      </c>
      <c r="Z209" s="934"/>
    </row>
    <row r="210" spans="20:26" ht="15" customHeight="1">
      <c r="T210" s="1083" t="s">
        <v>1664</v>
      </c>
      <c r="U210" s="933" t="s">
        <v>603</v>
      </c>
      <c r="V210" s="932" t="s">
        <v>2266</v>
      </c>
      <c r="W210" s="960" t="s">
        <v>460</v>
      </c>
      <c r="X210" s="949">
        <v>18</v>
      </c>
      <c r="Y210" s="930" t="s">
        <v>2124</v>
      </c>
      <c r="Z210" s="934"/>
    </row>
    <row r="211" spans="20:26" ht="15" customHeight="1">
      <c r="T211" s="1083" t="s">
        <v>1665</v>
      </c>
      <c r="U211" s="937" t="s">
        <v>604</v>
      </c>
      <c r="V211" s="935" t="s">
        <v>2266</v>
      </c>
      <c r="W211" s="968" t="s">
        <v>884</v>
      </c>
      <c r="X211" s="949">
        <v>18</v>
      </c>
      <c r="Y211" s="930" t="s">
        <v>2124</v>
      </c>
      <c r="Z211" s="934"/>
    </row>
    <row r="212" spans="20:26" ht="15" customHeight="1">
      <c r="T212" s="1083" t="s">
        <v>1666</v>
      </c>
      <c r="U212" s="937" t="s">
        <v>605</v>
      </c>
      <c r="V212" s="935" t="s">
        <v>2266</v>
      </c>
      <c r="W212" s="968" t="s">
        <v>885</v>
      </c>
      <c r="X212" s="949">
        <v>18</v>
      </c>
      <c r="Y212" s="930" t="s">
        <v>2124</v>
      </c>
      <c r="Z212" s="934"/>
    </row>
    <row r="213" spans="20:26" ht="15" customHeight="1">
      <c r="T213" s="1083" t="s">
        <v>1667</v>
      </c>
      <c r="U213" s="937" t="s">
        <v>606</v>
      </c>
      <c r="V213" s="935" t="s">
        <v>2266</v>
      </c>
      <c r="W213" s="968" t="s">
        <v>886</v>
      </c>
      <c r="X213" s="949">
        <v>18</v>
      </c>
      <c r="Y213" s="930" t="s">
        <v>2124</v>
      </c>
      <c r="Z213" s="934"/>
    </row>
    <row r="214" spans="20:26" ht="15" customHeight="1">
      <c r="T214" s="1083" t="s">
        <v>1668</v>
      </c>
      <c r="U214" s="937" t="s">
        <v>607</v>
      </c>
      <c r="V214" s="935" t="s">
        <v>2266</v>
      </c>
      <c r="W214" s="968" t="s">
        <v>887</v>
      </c>
      <c r="X214" s="949">
        <v>18</v>
      </c>
      <c r="Y214" s="930" t="s">
        <v>2124</v>
      </c>
      <c r="Z214" s="934"/>
    </row>
    <row r="215" spans="20:26" ht="15" customHeight="1">
      <c r="T215" s="1083" t="s">
        <v>1669</v>
      </c>
      <c r="U215" s="937" t="s">
        <v>608</v>
      </c>
      <c r="V215" s="935" t="s">
        <v>2266</v>
      </c>
      <c r="W215" s="968" t="s">
        <v>888</v>
      </c>
      <c r="X215" s="949">
        <v>18</v>
      </c>
      <c r="Y215" s="930" t="s">
        <v>2124</v>
      </c>
      <c r="Z215" s="934"/>
    </row>
    <row r="216" spans="20:26" ht="15" customHeight="1">
      <c r="T216" s="1083" t="s">
        <v>1670</v>
      </c>
      <c r="U216" s="937" t="s">
        <v>609</v>
      </c>
      <c r="V216" s="935" t="s">
        <v>2263</v>
      </c>
      <c r="W216" s="938" t="s">
        <v>663</v>
      </c>
      <c r="X216" s="936" t="s">
        <v>2124</v>
      </c>
      <c r="Y216" s="930" t="s">
        <v>2124</v>
      </c>
      <c r="Z216" s="934"/>
    </row>
    <row r="217" spans="20:26" ht="15" customHeight="1">
      <c r="T217" s="1083" t="s">
        <v>1671</v>
      </c>
      <c r="U217" s="933" t="s">
        <v>610</v>
      </c>
      <c r="V217" s="787" t="s">
        <v>2271</v>
      </c>
      <c r="W217" s="970" t="s">
        <v>436</v>
      </c>
      <c r="X217" s="936" t="s">
        <v>510</v>
      </c>
      <c r="Y217" s="930" t="s">
        <v>649</v>
      </c>
      <c r="Z217" s="934"/>
    </row>
    <row r="218" spans="20:26" ht="15" customHeight="1">
      <c r="T218" s="1083" t="s">
        <v>1672</v>
      </c>
      <c r="U218" s="937" t="s">
        <v>611</v>
      </c>
      <c r="V218" s="787" t="s">
        <v>2271</v>
      </c>
      <c r="W218" s="970" t="s">
        <v>1219</v>
      </c>
      <c r="X218" s="936" t="s">
        <v>508</v>
      </c>
      <c r="Y218" s="930" t="s">
        <v>947</v>
      </c>
      <c r="Z218" s="934"/>
    </row>
    <row r="219" spans="20:26" ht="15" customHeight="1">
      <c r="T219" s="1083" t="s">
        <v>1673</v>
      </c>
      <c r="U219" s="937" t="s">
        <v>612</v>
      </c>
      <c r="V219" s="787" t="s">
        <v>2271</v>
      </c>
      <c r="W219" s="970" t="s">
        <v>1222</v>
      </c>
      <c r="X219" s="936" t="s">
        <v>508</v>
      </c>
      <c r="Y219" s="930" t="s">
        <v>947</v>
      </c>
      <c r="Z219" s="934"/>
    </row>
    <row r="220" spans="20:26" ht="15" customHeight="1">
      <c r="T220" s="1083" t="s">
        <v>1674</v>
      </c>
      <c r="U220" s="937" t="s">
        <v>613</v>
      </c>
      <c r="V220" s="787" t="s">
        <v>2271</v>
      </c>
      <c r="W220" s="970" t="s">
        <v>437</v>
      </c>
      <c r="X220" s="936" t="s">
        <v>505</v>
      </c>
      <c r="Y220" s="930" t="s">
        <v>2124</v>
      </c>
      <c r="Z220" s="934"/>
    </row>
    <row r="221" spans="20:26" ht="15" customHeight="1">
      <c r="T221" s="1083" t="s">
        <v>1675</v>
      </c>
      <c r="U221" s="933" t="s">
        <v>614</v>
      </c>
      <c r="V221" s="787" t="s">
        <v>2271</v>
      </c>
      <c r="W221" s="970" t="s">
        <v>1217</v>
      </c>
      <c r="X221" s="936" t="s">
        <v>509</v>
      </c>
      <c r="Y221" s="938" t="s">
        <v>2124</v>
      </c>
      <c r="Z221" s="934"/>
    </row>
    <row r="222" spans="20:26" ht="15" customHeight="1">
      <c r="T222" s="1083" t="s">
        <v>1676</v>
      </c>
      <c r="U222" s="937" t="s">
        <v>615</v>
      </c>
      <c r="V222" s="787" t="s">
        <v>2271</v>
      </c>
      <c r="W222" s="970" t="s">
        <v>664</v>
      </c>
      <c r="X222" s="936" t="s">
        <v>511</v>
      </c>
      <c r="Y222" s="938" t="s">
        <v>2124</v>
      </c>
      <c r="Z222" s="934"/>
    </row>
    <row r="223" spans="20:26" ht="15" customHeight="1">
      <c r="T223" s="1083" t="s">
        <v>1677</v>
      </c>
      <c r="U223" s="937" t="s">
        <v>616</v>
      </c>
      <c r="V223" s="787" t="s">
        <v>2271</v>
      </c>
      <c r="W223" s="970" t="s">
        <v>1223</v>
      </c>
      <c r="X223" s="936" t="s">
        <v>508</v>
      </c>
      <c r="Y223" s="938" t="s">
        <v>947</v>
      </c>
      <c r="Z223" s="934"/>
    </row>
    <row r="224" spans="20:26" ht="15" customHeight="1">
      <c r="T224" s="1083" t="s">
        <v>1678</v>
      </c>
      <c r="U224" s="937" t="s">
        <v>617</v>
      </c>
      <c r="V224" s="787" t="s">
        <v>2271</v>
      </c>
      <c r="W224" s="970" t="s">
        <v>665</v>
      </c>
      <c r="X224" s="936" t="s">
        <v>511</v>
      </c>
      <c r="Y224" s="938" t="s">
        <v>2124</v>
      </c>
      <c r="Z224" s="934"/>
    </row>
    <row r="225" spans="20:26" ht="15" customHeight="1">
      <c r="T225" s="1083" t="s">
        <v>1679</v>
      </c>
      <c r="U225" s="933" t="s">
        <v>621</v>
      </c>
      <c r="V225" s="787" t="s">
        <v>2271</v>
      </c>
      <c r="W225" s="971" t="s">
        <v>1218</v>
      </c>
      <c r="X225" s="936" t="s">
        <v>508</v>
      </c>
      <c r="Y225" s="938" t="s">
        <v>947</v>
      </c>
      <c r="Z225" s="953"/>
    </row>
    <row r="226" spans="20:26" ht="15" customHeight="1">
      <c r="T226" s="1083" t="s">
        <v>1680</v>
      </c>
      <c r="U226" s="937" t="s">
        <v>622</v>
      </c>
      <c r="V226" s="787" t="s">
        <v>2271</v>
      </c>
      <c r="W226" s="970" t="s">
        <v>1221</v>
      </c>
      <c r="X226" s="936" t="s">
        <v>508</v>
      </c>
      <c r="Y226" s="938" t="s">
        <v>947</v>
      </c>
      <c r="Z226" s="934"/>
    </row>
    <row r="227" spans="20:26" ht="15" customHeight="1">
      <c r="T227" s="1083" t="s">
        <v>1681</v>
      </c>
      <c r="U227" s="937" t="s">
        <v>623</v>
      </c>
      <c r="V227" s="787" t="s">
        <v>2271</v>
      </c>
      <c r="W227" s="970" t="s">
        <v>1224</v>
      </c>
      <c r="X227" s="936" t="s">
        <v>505</v>
      </c>
      <c r="Y227" s="938" t="s">
        <v>947</v>
      </c>
      <c r="Z227" s="934"/>
    </row>
    <row r="228" spans="20:26" ht="15" customHeight="1">
      <c r="T228" s="1083" t="s">
        <v>1682</v>
      </c>
      <c r="U228" s="937" t="s">
        <v>624</v>
      </c>
      <c r="V228" s="938" t="s">
        <v>2266</v>
      </c>
      <c r="W228" s="970" t="s">
        <v>1227</v>
      </c>
      <c r="X228" s="936">
        <v>5</v>
      </c>
      <c r="Y228" s="938" t="s">
        <v>2124</v>
      </c>
      <c r="Z228" s="934"/>
    </row>
    <row r="229" spans="20:26" ht="15" customHeight="1">
      <c r="T229" s="1083" t="s">
        <v>1683</v>
      </c>
      <c r="U229" s="937" t="s">
        <v>625</v>
      </c>
      <c r="V229" s="938" t="s">
        <v>2263</v>
      </c>
      <c r="W229" s="945" t="s">
        <v>365</v>
      </c>
      <c r="X229" s="972" t="s">
        <v>2124</v>
      </c>
      <c r="Y229" s="930" t="s">
        <v>2124</v>
      </c>
      <c r="Z229" s="934"/>
    </row>
    <row r="230" spans="20:26" ht="15" customHeight="1">
      <c r="T230" s="1083" t="s">
        <v>1684</v>
      </c>
      <c r="U230" s="933" t="s">
        <v>626</v>
      </c>
      <c r="V230" s="960" t="s">
        <v>2266</v>
      </c>
      <c r="W230" s="943" t="s">
        <v>2260</v>
      </c>
      <c r="X230" s="936">
        <v>50</v>
      </c>
      <c r="Y230" s="930" t="s">
        <v>2124</v>
      </c>
      <c r="Z230" s="934"/>
    </row>
    <row r="231" spans="20:26" ht="15" customHeight="1">
      <c r="T231" s="1083" t="s">
        <v>1685</v>
      </c>
      <c r="U231" s="937" t="s">
        <v>627</v>
      </c>
      <c r="V231" s="938" t="s">
        <v>2266</v>
      </c>
      <c r="W231" s="950" t="s">
        <v>890</v>
      </c>
      <c r="X231" s="936">
        <v>50</v>
      </c>
      <c r="Y231" s="930" t="s">
        <v>2124</v>
      </c>
      <c r="Z231" s="934"/>
    </row>
    <row r="232" spans="20:26" ht="15" customHeight="1">
      <c r="T232" s="1083" t="s">
        <v>1686</v>
      </c>
      <c r="U232" s="937" t="s">
        <v>628</v>
      </c>
      <c r="V232" s="938" t="s">
        <v>2266</v>
      </c>
      <c r="W232" s="950" t="s">
        <v>891</v>
      </c>
      <c r="X232" s="936">
        <v>50</v>
      </c>
      <c r="Y232" s="930" t="s">
        <v>2124</v>
      </c>
      <c r="Z232" s="934"/>
    </row>
    <row r="233" spans="20:26" ht="15" customHeight="1">
      <c r="T233" s="1083" t="s">
        <v>1687</v>
      </c>
      <c r="U233" s="937" t="s">
        <v>629</v>
      </c>
      <c r="V233" s="938" t="s">
        <v>2266</v>
      </c>
      <c r="W233" s="950" t="s">
        <v>892</v>
      </c>
      <c r="X233" s="936">
        <v>50</v>
      </c>
      <c r="Y233" s="930" t="s">
        <v>2124</v>
      </c>
      <c r="Z233" s="953"/>
    </row>
    <row r="234" spans="20:26" ht="15" customHeight="1">
      <c r="T234" s="1083" t="s">
        <v>1688</v>
      </c>
      <c r="U234" s="937" t="s">
        <v>630</v>
      </c>
      <c r="V234" s="938" t="s">
        <v>2266</v>
      </c>
      <c r="W234" s="950" t="s">
        <v>893</v>
      </c>
      <c r="X234" s="936">
        <v>50</v>
      </c>
      <c r="Y234" s="930" t="s">
        <v>2124</v>
      </c>
      <c r="Z234" s="934"/>
    </row>
    <row r="235" spans="20:26" ht="15" customHeight="1">
      <c r="T235" s="1083" t="s">
        <v>1689</v>
      </c>
      <c r="U235" s="937" t="s">
        <v>631</v>
      </c>
      <c r="V235" s="938" t="s">
        <v>2266</v>
      </c>
      <c r="W235" s="950" t="s">
        <v>894</v>
      </c>
      <c r="X235" s="936">
        <v>50</v>
      </c>
      <c r="Y235" s="930" t="s">
        <v>2124</v>
      </c>
      <c r="Z235" s="934"/>
    </row>
    <row r="236" spans="20:26" ht="15" customHeight="1">
      <c r="T236" s="1083" t="s">
        <v>1690</v>
      </c>
      <c r="U236" s="933" t="s">
        <v>632</v>
      </c>
      <c r="V236" s="960" t="s">
        <v>2266</v>
      </c>
      <c r="W236" s="970" t="s">
        <v>2257</v>
      </c>
      <c r="X236" s="936">
        <v>1</v>
      </c>
      <c r="Y236" s="930" t="s">
        <v>2124</v>
      </c>
      <c r="Z236" s="953"/>
    </row>
    <row r="237" spans="20:26" ht="15" customHeight="1">
      <c r="T237" s="1083" t="s">
        <v>1691</v>
      </c>
      <c r="U237" s="937" t="s">
        <v>633</v>
      </c>
      <c r="V237" s="938" t="s">
        <v>2266</v>
      </c>
      <c r="W237" s="973" t="s">
        <v>900</v>
      </c>
      <c r="X237" s="936">
        <v>1</v>
      </c>
      <c r="Y237" s="930" t="s">
        <v>2124</v>
      </c>
      <c r="Z237" s="953"/>
    </row>
    <row r="238" spans="20:26" ht="15" customHeight="1">
      <c r="T238" s="1083" t="s">
        <v>1692</v>
      </c>
      <c r="U238" s="937" t="s">
        <v>634</v>
      </c>
      <c r="V238" s="938" t="s">
        <v>2266</v>
      </c>
      <c r="W238" s="973" t="s">
        <v>901</v>
      </c>
      <c r="X238" s="936">
        <v>1</v>
      </c>
      <c r="Y238" s="930" t="s">
        <v>2124</v>
      </c>
      <c r="Z238" s="953"/>
    </row>
    <row r="239" spans="20:26" ht="15" customHeight="1">
      <c r="T239" s="1083" t="s">
        <v>1693</v>
      </c>
      <c r="U239" s="937" t="s">
        <v>635</v>
      </c>
      <c r="V239" s="938" t="s">
        <v>2266</v>
      </c>
      <c r="W239" s="973" t="s">
        <v>902</v>
      </c>
      <c r="X239" s="936">
        <v>1</v>
      </c>
      <c r="Y239" s="930" t="s">
        <v>2124</v>
      </c>
      <c r="Z239" s="953"/>
    </row>
    <row r="240" spans="20:26" ht="15" customHeight="1">
      <c r="T240" s="1083" t="s">
        <v>1694</v>
      </c>
      <c r="U240" s="937" t="s">
        <v>636</v>
      </c>
      <c r="V240" s="938" t="s">
        <v>2266</v>
      </c>
      <c r="W240" s="973" t="s">
        <v>903</v>
      </c>
      <c r="X240" s="936">
        <v>1</v>
      </c>
      <c r="Y240" s="930" t="s">
        <v>2124</v>
      </c>
      <c r="Z240" s="961"/>
    </row>
    <row r="241" spans="20:26" ht="15" customHeight="1">
      <c r="T241" s="1083" t="s">
        <v>1695</v>
      </c>
      <c r="U241" s="937" t="s">
        <v>637</v>
      </c>
      <c r="V241" s="938" t="s">
        <v>2266</v>
      </c>
      <c r="W241" s="973" t="s">
        <v>904</v>
      </c>
      <c r="X241" s="936">
        <v>1</v>
      </c>
      <c r="Y241" s="930" t="s">
        <v>2124</v>
      </c>
      <c r="Z241" s="961"/>
    </row>
    <row r="242" spans="20:26" ht="15" customHeight="1">
      <c r="T242" s="1083" t="s">
        <v>1696</v>
      </c>
      <c r="U242" s="933" t="s">
        <v>638</v>
      </c>
      <c r="V242" s="960" t="s">
        <v>2266</v>
      </c>
      <c r="W242" s="970" t="s">
        <v>462</v>
      </c>
      <c r="X242" s="949">
        <v>18</v>
      </c>
      <c r="Y242" s="930" t="s">
        <v>2124</v>
      </c>
      <c r="Z242" s="934"/>
    </row>
    <row r="243" spans="20:26" ht="15" customHeight="1">
      <c r="T243" s="1083" t="s">
        <v>1697</v>
      </c>
      <c r="U243" s="937" t="s">
        <v>639</v>
      </c>
      <c r="V243" s="938" t="s">
        <v>2266</v>
      </c>
      <c r="W243" s="973" t="s">
        <v>515</v>
      </c>
      <c r="X243" s="949">
        <v>18</v>
      </c>
      <c r="Y243" s="930" t="s">
        <v>2124</v>
      </c>
      <c r="Z243" s="934"/>
    </row>
    <row r="244" spans="20:26" ht="15" customHeight="1">
      <c r="T244" s="1083" t="s">
        <v>1698</v>
      </c>
      <c r="U244" s="937" t="s">
        <v>640</v>
      </c>
      <c r="V244" s="938" t="s">
        <v>2266</v>
      </c>
      <c r="W244" s="973" t="s">
        <v>516</v>
      </c>
      <c r="X244" s="949">
        <v>18</v>
      </c>
      <c r="Y244" s="930" t="s">
        <v>2124</v>
      </c>
      <c r="Z244" s="934"/>
    </row>
    <row r="245" spans="20:26" ht="15" customHeight="1">
      <c r="T245" s="1083" t="s">
        <v>1699</v>
      </c>
      <c r="U245" s="937" t="s">
        <v>641</v>
      </c>
      <c r="V245" s="938" t="s">
        <v>2266</v>
      </c>
      <c r="W245" s="973" t="s">
        <v>517</v>
      </c>
      <c r="X245" s="949">
        <v>18</v>
      </c>
      <c r="Y245" s="930" t="s">
        <v>2124</v>
      </c>
      <c r="Z245" s="934"/>
    </row>
    <row r="246" spans="20:26" ht="15" customHeight="1">
      <c r="T246" s="1083" t="s">
        <v>1700</v>
      </c>
      <c r="U246" s="937" t="s">
        <v>642</v>
      </c>
      <c r="V246" s="938" t="s">
        <v>2266</v>
      </c>
      <c r="W246" s="973" t="s">
        <v>518</v>
      </c>
      <c r="X246" s="949">
        <v>18</v>
      </c>
      <c r="Y246" s="930" t="s">
        <v>2124</v>
      </c>
      <c r="Z246" s="934"/>
    </row>
    <row r="247" spans="20:26" ht="15" customHeight="1">
      <c r="T247" s="1083" t="s">
        <v>1701</v>
      </c>
      <c r="U247" s="937" t="s">
        <v>643</v>
      </c>
      <c r="V247" s="938" t="s">
        <v>2266</v>
      </c>
      <c r="W247" s="973" t="s">
        <v>526</v>
      </c>
      <c r="X247" s="949">
        <v>18</v>
      </c>
      <c r="Y247" s="930" t="s">
        <v>2124</v>
      </c>
      <c r="Z247" s="1165" t="s">
        <v>292</v>
      </c>
    </row>
    <row r="248" spans="20:26" ht="15" customHeight="1">
      <c r="T248" s="1083" t="s">
        <v>1702</v>
      </c>
      <c r="U248" s="974" t="s">
        <v>1976</v>
      </c>
      <c r="V248" s="974" t="s">
        <v>2271</v>
      </c>
      <c r="W248" s="974" t="s">
        <v>459</v>
      </c>
      <c r="X248" s="949">
        <v>11.2</v>
      </c>
      <c r="Y248" s="974" t="s">
        <v>1977</v>
      </c>
      <c r="Z248" s="953"/>
    </row>
    <row r="249" spans="20:26" ht="15" customHeight="1">
      <c r="T249" s="928"/>
      <c r="U249" s="938"/>
      <c r="V249" s="938"/>
      <c r="W249" s="938"/>
      <c r="X249" s="936"/>
      <c r="Y249" s="938"/>
      <c r="Z249" s="953"/>
    </row>
    <row r="250" ht="15" customHeight="1">
      <c r="Z250" s="889"/>
    </row>
    <row r="251" ht="15" customHeight="1">
      <c r="Z251" s="890"/>
    </row>
    <row r="252" ht="15" customHeight="1">
      <c r="Z252" s="890"/>
    </row>
    <row r="253" ht="15" customHeight="1">
      <c r="Z253" s="889"/>
    </row>
    <row r="254" ht="15" customHeight="1">
      <c r="Z254" s="786"/>
    </row>
    <row r="255" ht="15" customHeight="1">
      <c r="Z255" s="786"/>
    </row>
    <row r="256" ht="15" customHeight="1">
      <c r="Z256" s="786"/>
    </row>
    <row r="257" ht="15" customHeight="1">
      <c r="Z257" s="786"/>
    </row>
    <row r="258" ht="15" customHeight="1">
      <c r="Z258" s="786"/>
    </row>
    <row r="259" ht="15" customHeight="1">
      <c r="Z259" s="786"/>
    </row>
    <row r="260" ht="15" customHeight="1">
      <c r="Z260" s="786"/>
    </row>
    <row r="261" ht="15" customHeight="1">
      <c r="Z261" s="786"/>
    </row>
    <row r="262" ht="15" customHeight="1">
      <c r="Z262" s="786"/>
    </row>
    <row r="263" ht="15" customHeight="1">
      <c r="Z263" s="786"/>
    </row>
    <row r="264" ht="15" customHeight="1">
      <c r="Z264" s="786"/>
    </row>
    <row r="265" ht="15" customHeight="1">
      <c r="Z265" s="786"/>
    </row>
    <row r="266" ht="15" customHeight="1">
      <c r="Z266" s="786"/>
    </row>
    <row r="267" ht="15" customHeight="1">
      <c r="Z267" s="786"/>
    </row>
    <row r="268" ht="15" customHeight="1">
      <c r="Z268" s="786"/>
    </row>
    <row r="269" ht="15" customHeight="1">
      <c r="Z269" s="786"/>
    </row>
    <row r="270" ht="15" customHeight="1">
      <c r="Z270" s="786"/>
    </row>
    <row r="271" ht="15" customHeight="1">
      <c r="Z271" s="786"/>
    </row>
    <row r="272" ht="15" customHeight="1">
      <c r="Z272" s="786"/>
    </row>
    <row r="273" ht="15" customHeight="1">
      <c r="Z273" s="786"/>
    </row>
    <row r="274" ht="15" customHeight="1">
      <c r="Z274" s="786"/>
    </row>
    <row r="275" ht="15" customHeight="1">
      <c r="Z275" s="786"/>
    </row>
    <row r="276" ht="15" customHeight="1">
      <c r="Z276" s="786"/>
    </row>
    <row r="277" ht="15" customHeight="1">
      <c r="Z277" s="786"/>
    </row>
    <row r="278" ht="15" customHeight="1">
      <c r="Z278" s="786"/>
    </row>
    <row r="279" ht="15" customHeight="1">
      <c r="Z279" s="786"/>
    </row>
    <row r="280" ht="15" customHeight="1">
      <c r="Z280" s="786"/>
    </row>
    <row r="281" ht="15" customHeight="1">
      <c r="Z281" s="786"/>
    </row>
    <row r="282" ht="15" customHeight="1">
      <c r="Z282" s="786"/>
    </row>
    <row r="283" ht="15" customHeight="1">
      <c r="Z283" s="890"/>
    </row>
    <row r="284" ht="15" customHeight="1">
      <c r="Z284" s="890"/>
    </row>
    <row r="285" ht="15" customHeight="1">
      <c r="Z285" s="890"/>
    </row>
    <row r="286" ht="15" customHeight="1">
      <c r="Z286" s="890"/>
    </row>
    <row r="287" ht="15" customHeight="1">
      <c r="Z287" s="890"/>
    </row>
    <row r="288" ht="15" customHeight="1">
      <c r="Z288" s="890"/>
    </row>
    <row r="289" ht="15" customHeight="1">
      <c r="Z289" s="890"/>
    </row>
    <row r="290" ht="15" customHeight="1">
      <c r="Z290" s="786"/>
    </row>
    <row r="291" ht="15" customHeight="1">
      <c r="Z291" s="889"/>
    </row>
    <row r="292" ht="15" customHeight="1">
      <c r="Z292" s="889"/>
    </row>
    <row r="293" ht="15" customHeight="1">
      <c r="Z293" s="889"/>
    </row>
    <row r="294" ht="15" customHeight="1">
      <c r="Z294" s="889"/>
    </row>
    <row r="295" ht="15" customHeight="1">
      <c r="Z295" s="889"/>
    </row>
    <row r="296" ht="15" customHeight="1">
      <c r="Z296" s="889"/>
    </row>
    <row r="297" ht="15" customHeight="1">
      <c r="Z297" s="786"/>
    </row>
    <row r="298" ht="15" customHeight="1">
      <c r="Z298" s="786"/>
    </row>
    <row r="299" ht="15" customHeight="1">
      <c r="Z299" s="786"/>
    </row>
    <row r="300" ht="15" customHeight="1">
      <c r="Z300" s="786"/>
    </row>
    <row r="301" ht="15" customHeight="1">
      <c r="Z301" s="786"/>
    </row>
    <row r="302" ht="15" customHeight="1">
      <c r="Z302" s="786"/>
    </row>
    <row r="303" ht="15" customHeight="1">
      <c r="Z303" s="786"/>
    </row>
    <row r="304" ht="15" customHeight="1">
      <c r="Z304" s="786"/>
    </row>
    <row r="305" ht="15" customHeight="1">
      <c r="Z305" s="786"/>
    </row>
    <row r="306" ht="15" customHeight="1">
      <c r="Z306" s="786"/>
    </row>
    <row r="307" ht="15" customHeight="1">
      <c r="Z307" s="786"/>
    </row>
    <row r="308" ht="15" customHeight="1">
      <c r="Z308" s="786"/>
    </row>
    <row r="309" ht="15" customHeight="1">
      <c r="Z309" s="786"/>
    </row>
    <row r="310" ht="15" customHeight="1">
      <c r="Z310" s="786"/>
    </row>
    <row r="311" ht="15" customHeight="1">
      <c r="Z311" s="786"/>
    </row>
    <row r="312" ht="15" customHeight="1">
      <c r="Z312" s="786"/>
    </row>
    <row r="313" ht="15" customHeight="1">
      <c r="Z313" s="786"/>
    </row>
    <row r="314" ht="15" customHeight="1">
      <c r="Z314" s="786"/>
    </row>
    <row r="315" ht="15" customHeight="1">
      <c r="Z315" s="786"/>
    </row>
    <row r="316" ht="15" customHeight="1">
      <c r="Z316" s="890"/>
    </row>
    <row r="317" ht="15" customHeight="1">
      <c r="Z317" s="889"/>
    </row>
    <row r="318" ht="15" customHeight="1">
      <c r="Z318" s="889"/>
    </row>
    <row r="319" ht="15" customHeight="1">
      <c r="Z319" s="890"/>
    </row>
    <row r="320" ht="15" customHeight="1">
      <c r="Z320" s="786"/>
    </row>
    <row r="321" ht="15" customHeight="1">
      <c r="Z321" s="786"/>
    </row>
    <row r="322" ht="15" customHeight="1">
      <c r="Z322" s="786"/>
    </row>
    <row r="323" ht="15" customHeight="1">
      <c r="Z323" s="786"/>
    </row>
    <row r="324" ht="15" customHeight="1">
      <c r="Z324" s="890"/>
    </row>
    <row r="325" ht="15" customHeight="1">
      <c r="Z325" s="890"/>
    </row>
    <row r="326" ht="15" customHeight="1">
      <c r="Z326" s="889"/>
    </row>
    <row r="327" ht="15" customHeight="1">
      <c r="Z327" s="890"/>
    </row>
    <row r="328" ht="15" customHeight="1">
      <c r="Z328" s="786"/>
    </row>
    <row r="329" ht="15" customHeight="1">
      <c r="Z329" s="786"/>
    </row>
    <row r="330" ht="15" customHeight="1">
      <c r="Z330" s="786"/>
    </row>
    <row r="331" ht="15" customHeight="1">
      <c r="Z331" s="786"/>
    </row>
    <row r="332" ht="15" customHeight="1">
      <c r="Z332" s="889"/>
    </row>
    <row r="333" ht="15" customHeight="1">
      <c r="Z333" s="889"/>
    </row>
    <row r="334" ht="15" customHeight="1">
      <c r="Z334" s="889"/>
    </row>
    <row r="335" spans="26:29" ht="15" customHeight="1">
      <c r="Z335" s="831"/>
      <c r="AA335" s="888"/>
      <c r="AB335" s="888"/>
      <c r="AC335" s="888"/>
    </row>
    <row r="336" ht="15" customHeight="1">
      <c r="Z336" s="888"/>
    </row>
    <row r="337" ht="15" customHeight="1">
      <c r="Z337" s="786"/>
    </row>
    <row r="338" ht="15" customHeight="1">
      <c r="Z338" s="786"/>
    </row>
    <row r="339" ht="15" customHeight="1">
      <c r="Z339" s="786"/>
    </row>
    <row r="340" ht="15" customHeight="1">
      <c r="Z340" s="786"/>
    </row>
    <row r="341" ht="15" customHeight="1">
      <c r="Z341" s="786"/>
    </row>
    <row r="342" ht="15" customHeight="1">
      <c r="Z342" s="786"/>
    </row>
    <row r="343" ht="15" customHeight="1">
      <c r="Z343" s="786"/>
    </row>
    <row r="344" ht="15" customHeight="1">
      <c r="Z344" s="786"/>
    </row>
    <row r="345" ht="15" customHeight="1">
      <c r="Z345" s="786"/>
    </row>
    <row r="346" ht="15" customHeight="1">
      <c r="Z346" s="786"/>
    </row>
    <row r="347" ht="15" customHeight="1">
      <c r="Z347" s="786"/>
    </row>
    <row r="348" ht="15" customHeight="1">
      <c r="Z348" s="786"/>
    </row>
    <row r="349" ht="15" customHeight="1">
      <c r="Z349" s="786"/>
    </row>
    <row r="350" ht="15" customHeight="1">
      <c r="Z350" s="786"/>
    </row>
    <row r="351" ht="15" customHeight="1">
      <c r="Z351" s="786"/>
    </row>
    <row r="352" ht="15" customHeight="1">
      <c r="Z352" s="889"/>
    </row>
    <row r="353" ht="15" customHeight="1">
      <c r="Z353" s="786"/>
    </row>
    <row r="354" ht="15" customHeight="1">
      <c r="Z354" s="786"/>
    </row>
    <row r="355" ht="15" customHeight="1">
      <c r="Z355" s="786"/>
    </row>
    <row r="356" ht="15" customHeight="1">
      <c r="Z356" s="786"/>
    </row>
    <row r="357" ht="15" customHeight="1">
      <c r="Z357" s="786"/>
    </row>
    <row r="358" ht="15" customHeight="1"/>
    <row r="359" ht="15" customHeight="1"/>
    <row r="360" ht="15" customHeight="1"/>
    <row r="361" ht="15" customHeight="1"/>
    <row r="362" ht="15" customHeight="1"/>
    <row r="363" ht="15" customHeight="1"/>
    <row r="364" ht="15" customHeight="1"/>
  </sheetData>
  <sheetProtection/>
  <mergeCells count="160">
    <mergeCell ref="M23:O23"/>
    <mergeCell ref="M22:O22"/>
    <mergeCell ref="D3:F3"/>
    <mergeCell ref="B28:C28"/>
    <mergeCell ref="G30:H30"/>
    <mergeCell ref="H5:J5"/>
    <mergeCell ref="F23:G23"/>
    <mergeCell ref="F24:G24"/>
    <mergeCell ref="I25:J25"/>
    <mergeCell ref="M27:O27"/>
    <mergeCell ref="M26:O26"/>
    <mergeCell ref="M25:O25"/>
    <mergeCell ref="M13:O13"/>
    <mergeCell ref="I23:J23"/>
    <mergeCell ref="I24:J24"/>
    <mergeCell ref="B22:D22"/>
    <mergeCell ref="M24:O24"/>
    <mergeCell ref="I30:K30"/>
    <mergeCell ref="M15:O15"/>
    <mergeCell ref="M14:O14"/>
    <mergeCell ref="B2:F2"/>
    <mergeCell ref="D6:F6"/>
    <mergeCell ref="M2:R2"/>
    <mergeCell ref="H2:K2"/>
    <mergeCell ref="H3:K3"/>
    <mergeCell ref="Q12:R12"/>
    <mergeCell ref="Q11:R11"/>
    <mergeCell ref="Q10:R10"/>
    <mergeCell ref="Q9:R9"/>
    <mergeCell ref="M7:O7"/>
    <mergeCell ref="Q7:R7"/>
    <mergeCell ref="Q6:R6"/>
    <mergeCell ref="D4:F4"/>
    <mergeCell ref="M12:O12"/>
    <mergeCell ref="Q4:R4"/>
    <mergeCell ref="Q5:R5"/>
    <mergeCell ref="M11:O11"/>
    <mergeCell ref="M4:O4"/>
    <mergeCell ref="B8:F8"/>
    <mergeCell ref="D5:F5"/>
    <mergeCell ref="M10:O10"/>
    <mergeCell ref="D7:F7"/>
    <mergeCell ref="M8:O8"/>
    <mergeCell ref="Q3:R3"/>
    <mergeCell ref="Q26:R26"/>
    <mergeCell ref="Q25:R25"/>
    <mergeCell ref="Q24:R24"/>
    <mergeCell ref="B29:D29"/>
    <mergeCell ref="M6:O6"/>
    <mergeCell ref="M5:O5"/>
    <mergeCell ref="Q18:R18"/>
    <mergeCell ref="Q17:R17"/>
    <mergeCell ref="Q14:R14"/>
    <mergeCell ref="Q13:R13"/>
    <mergeCell ref="Q16:R16"/>
    <mergeCell ref="Q15:R15"/>
    <mergeCell ref="Q8:R8"/>
    <mergeCell ref="Q23:R23"/>
    <mergeCell ref="Q22:R22"/>
    <mergeCell ref="Q21:R21"/>
    <mergeCell ref="Q20:R20"/>
    <mergeCell ref="Q19:R19"/>
    <mergeCell ref="M20:O20"/>
    <mergeCell ref="M9:O9"/>
    <mergeCell ref="M19:O19"/>
    <mergeCell ref="M18:O18"/>
    <mergeCell ref="M17:O17"/>
    <mergeCell ref="M16:O16"/>
    <mergeCell ref="C25:D25"/>
    <mergeCell ref="B27:C27"/>
    <mergeCell ref="F32:G32"/>
    <mergeCell ref="F25:G25"/>
    <mergeCell ref="B10:F10"/>
    <mergeCell ref="F22:K22"/>
    <mergeCell ref="F29:K29"/>
    <mergeCell ref="F37:G37"/>
    <mergeCell ref="I36:J36"/>
    <mergeCell ref="C23:D23"/>
    <mergeCell ref="I35:J35"/>
    <mergeCell ref="F35:G35"/>
    <mergeCell ref="B34:C34"/>
    <mergeCell ref="C24:D24"/>
    <mergeCell ref="I41:J41"/>
    <mergeCell ref="I42:J42"/>
    <mergeCell ref="B40:C40"/>
    <mergeCell ref="D40:H40"/>
    <mergeCell ref="I40:J40"/>
    <mergeCell ref="K40:L40"/>
    <mergeCell ref="B26:C26"/>
    <mergeCell ref="B35:C35"/>
    <mergeCell ref="F26:J26"/>
    <mergeCell ref="B32:C32"/>
    <mergeCell ref="B33:C33"/>
    <mergeCell ref="G31:H31"/>
    <mergeCell ref="I31:K31"/>
    <mergeCell ref="I46:J46"/>
    <mergeCell ref="P40:R40"/>
    <mergeCell ref="N28:R29"/>
    <mergeCell ref="I32:J32"/>
    <mergeCell ref="I33:J33"/>
    <mergeCell ref="F34:G34"/>
    <mergeCell ref="M31:O31"/>
    <mergeCell ref="B39:R39"/>
    <mergeCell ref="P41:R41"/>
    <mergeCell ref="F33:G33"/>
    <mergeCell ref="I37:J37"/>
    <mergeCell ref="F36:G36"/>
    <mergeCell ref="I34:J34"/>
    <mergeCell ref="K41:L41"/>
    <mergeCell ref="K42:L42"/>
    <mergeCell ref="P42:R42"/>
    <mergeCell ref="P43:R43"/>
    <mergeCell ref="P44:R44"/>
    <mergeCell ref="D41:H41"/>
    <mergeCell ref="D42:H42"/>
    <mergeCell ref="D43:H43"/>
    <mergeCell ref="B42:C42"/>
    <mergeCell ref="B43:C43"/>
    <mergeCell ref="B44:C44"/>
    <mergeCell ref="M21:O21"/>
    <mergeCell ref="L50:N50"/>
    <mergeCell ref="P53:R53"/>
    <mergeCell ref="D44:H44"/>
    <mergeCell ref="B41:C41"/>
    <mergeCell ref="K44:L44"/>
    <mergeCell ref="I43:J43"/>
    <mergeCell ref="I44:J44"/>
    <mergeCell ref="K43:L43"/>
    <mergeCell ref="B46:C46"/>
    <mergeCell ref="D45:H45"/>
    <mergeCell ref="I45:J45"/>
    <mergeCell ref="K45:L45"/>
    <mergeCell ref="B48:I48"/>
    <mergeCell ref="B49:C49"/>
    <mergeCell ref="B50:C50"/>
    <mergeCell ref="B51:C51"/>
    <mergeCell ref="B52:C52"/>
    <mergeCell ref="G49:H49"/>
    <mergeCell ref="G52:H52"/>
    <mergeCell ref="G50:H50"/>
    <mergeCell ref="G51:H51"/>
    <mergeCell ref="B45:C45"/>
    <mergeCell ref="D46:H46"/>
    <mergeCell ref="P55:R55"/>
    <mergeCell ref="P45:R45"/>
    <mergeCell ref="P46:R46"/>
    <mergeCell ref="P50:R50"/>
    <mergeCell ref="P51:R51"/>
    <mergeCell ref="P52:R52"/>
    <mergeCell ref="P54:R54"/>
    <mergeCell ref="M32:O32"/>
    <mergeCell ref="L55:N55"/>
    <mergeCell ref="L54:N54"/>
    <mergeCell ref="L51:N51"/>
    <mergeCell ref="L52:N52"/>
    <mergeCell ref="K46:L46"/>
    <mergeCell ref="L53:N53"/>
    <mergeCell ref="L48:R48"/>
    <mergeCell ref="L49:N49"/>
    <mergeCell ref="P49:R49"/>
  </mergeCells>
  <conditionalFormatting sqref="Q4:Q26">
    <cfRule type="cellIs" priority="1" dxfId="0" operator="equal" stopIfTrue="1">
      <formula>"ENTER"</formula>
    </cfRule>
  </conditionalFormatting>
  <printOptions horizontalCentered="1"/>
  <pageMargins left="0.75" right="0.75" top="1" bottom="1" header="0.5" footer="0.5"/>
  <pageSetup horizontalDpi="600" verticalDpi="600" orientation="landscape" scale="56" r:id="rId3"/>
  <rowBreaks count="1" manualBreakCount="1">
    <brk id="56" max="25" man="1"/>
  </rowBreaks>
  <colBreaks count="1" manualBreakCount="1">
    <brk id="19" max="247" man="1"/>
  </colBreaks>
  <legacyDrawing r:id="rId2"/>
</worksheet>
</file>

<file path=xl/worksheets/sheet14.xml><?xml version="1.0" encoding="utf-8"?>
<worksheet xmlns="http://schemas.openxmlformats.org/spreadsheetml/2006/main" xmlns:r="http://schemas.openxmlformats.org/officeDocument/2006/relationships">
  <sheetPr codeName="Sheet15">
    <tabColor indexed="45"/>
    <pageSetUpPr fitToPage="1"/>
  </sheetPr>
  <dimension ref="A1:BC8"/>
  <sheetViews>
    <sheetView zoomScale="75" zoomScaleNormal="75" zoomScalePageLayoutView="0" workbookViewId="0" topLeftCell="A1">
      <pane xSplit="2" topLeftCell="C1" activePane="topRight" state="frozen"/>
      <selection pane="topLeft" activeCell="C9" sqref="C9"/>
      <selection pane="topRight" activeCell="C10" sqref="C10"/>
    </sheetView>
  </sheetViews>
  <sheetFormatPr defaultColWidth="9.140625" defaultRowHeight="12.75"/>
  <cols>
    <col min="1" max="1" width="45.7109375" style="0" customWidth="1"/>
    <col min="2" max="2" width="20.7109375" style="0" customWidth="1"/>
    <col min="3" max="3" width="32.57421875" style="0" customWidth="1"/>
    <col min="4" max="4" width="54.8515625" style="0" customWidth="1"/>
    <col min="5" max="5" width="41.7109375" style="0" customWidth="1"/>
    <col min="6" max="6" width="29.28125" style="0" customWidth="1"/>
    <col min="7" max="7" width="13.57421875" style="0" customWidth="1"/>
    <col min="8" max="8" width="11.00390625" style="0" customWidth="1"/>
    <col min="9" max="9" width="35.28125" style="0" customWidth="1"/>
    <col min="10" max="10" width="14.7109375" style="0" customWidth="1"/>
    <col min="11" max="11" width="16.7109375" style="0" customWidth="1"/>
    <col min="12" max="12" width="17.7109375" style="0" customWidth="1"/>
    <col min="13" max="13" width="13.57421875" style="0" customWidth="1"/>
    <col min="14" max="14" width="26.57421875" style="0" customWidth="1"/>
    <col min="15" max="16" width="13.57421875" style="0" customWidth="1"/>
    <col min="17" max="17" width="33.140625" style="0" customWidth="1"/>
    <col min="18" max="18" width="23.7109375" style="0" customWidth="1"/>
    <col min="19" max="19" width="31.140625" style="0" customWidth="1"/>
    <col min="20" max="20" width="30.7109375" style="0" customWidth="1"/>
    <col min="21" max="21" width="14.8515625" style="0" customWidth="1"/>
    <col min="22" max="22" width="23.140625" style="0" customWidth="1"/>
    <col min="23" max="23" width="11.140625" style="0" customWidth="1"/>
    <col min="24" max="24" width="54.57421875" style="0" customWidth="1"/>
    <col min="25" max="25" width="13.57421875" style="0" customWidth="1"/>
    <col min="26" max="26" width="10.421875" style="0" customWidth="1"/>
    <col min="27" max="27" width="21.28125" style="0" customWidth="1"/>
    <col min="28" max="29" width="13.57421875" style="0" customWidth="1"/>
    <col min="30" max="30" width="17.28125" style="0" customWidth="1"/>
    <col min="31" max="31" width="14.140625" style="0" customWidth="1"/>
    <col min="32" max="32" width="14.8515625" style="0" customWidth="1"/>
    <col min="33" max="33" width="27.421875" style="0" customWidth="1"/>
    <col min="34" max="34" width="14.57421875" style="0" customWidth="1"/>
    <col min="35" max="35" width="13.57421875" style="0" customWidth="1"/>
    <col min="36" max="36" width="14.7109375" style="0" customWidth="1"/>
    <col min="37" max="37" width="20.00390625" style="0" customWidth="1"/>
    <col min="38" max="41" width="13.57421875" style="0" customWidth="1"/>
    <col min="42" max="42" width="15.00390625" style="0" customWidth="1"/>
    <col min="43" max="43" width="16.57421875" style="0" customWidth="1"/>
    <col min="44" max="44" width="16.7109375" style="0" customWidth="1"/>
    <col min="45" max="45" width="17.7109375" style="0" customWidth="1"/>
    <col min="46" max="46" width="21.8515625" style="0" customWidth="1"/>
    <col min="47" max="51" width="13.57421875" style="0" customWidth="1"/>
    <col min="52" max="52" width="17.28125" style="0" customWidth="1"/>
    <col min="53" max="55" width="17.8515625" style="0" customWidth="1"/>
  </cols>
  <sheetData>
    <row r="1" spans="1:55" s="9" customFormat="1" ht="12.75" customHeight="1">
      <c r="A1" s="983" t="s">
        <v>21</v>
      </c>
      <c r="B1" s="984"/>
      <c r="C1" s="985"/>
      <c r="D1" s="985"/>
      <c r="E1" s="986" t="s">
        <v>22</v>
      </c>
      <c r="F1" s="985"/>
      <c r="G1" s="986" t="s">
        <v>23</v>
      </c>
      <c r="H1" s="986" t="s">
        <v>23</v>
      </c>
      <c r="I1" s="985"/>
      <c r="J1" s="986" t="s">
        <v>23</v>
      </c>
      <c r="K1" s="986" t="s">
        <v>22</v>
      </c>
      <c r="L1" s="985"/>
      <c r="M1" s="985"/>
      <c r="N1" s="984"/>
      <c r="O1" s="986" t="s">
        <v>23</v>
      </c>
      <c r="P1" s="986" t="s">
        <v>23</v>
      </c>
      <c r="Q1" s="985"/>
      <c r="R1" s="986" t="s">
        <v>23</v>
      </c>
      <c r="S1" s="985"/>
      <c r="T1" s="985"/>
      <c r="U1" s="985"/>
      <c r="V1" s="985"/>
      <c r="W1" s="985"/>
      <c r="X1" s="984"/>
      <c r="Y1" s="986" t="s">
        <v>23</v>
      </c>
      <c r="Z1" s="985"/>
      <c r="AA1" s="986" t="s">
        <v>23</v>
      </c>
      <c r="AB1" s="986" t="s">
        <v>23</v>
      </c>
      <c r="AC1" s="986" t="s">
        <v>23</v>
      </c>
      <c r="AD1" s="986" t="s">
        <v>23</v>
      </c>
      <c r="AE1" s="986" t="s">
        <v>23</v>
      </c>
      <c r="AF1" s="986" t="s">
        <v>23</v>
      </c>
      <c r="AG1" s="985"/>
      <c r="AH1" s="986" t="s">
        <v>23</v>
      </c>
      <c r="AI1" s="986" t="s">
        <v>23</v>
      </c>
      <c r="AJ1" s="986" t="s">
        <v>23</v>
      </c>
      <c r="AK1" s="986" t="s">
        <v>23</v>
      </c>
      <c r="AL1" s="985"/>
      <c r="AM1" s="986" t="s">
        <v>23</v>
      </c>
      <c r="AN1" s="986" t="s">
        <v>23</v>
      </c>
      <c r="AO1" s="986" t="s">
        <v>23</v>
      </c>
      <c r="AP1" s="986" t="s">
        <v>23</v>
      </c>
      <c r="AQ1" s="986" t="s">
        <v>23</v>
      </c>
      <c r="AR1" s="986" t="s">
        <v>23</v>
      </c>
      <c r="AS1" s="986" t="s">
        <v>23</v>
      </c>
      <c r="AT1" s="986" t="s">
        <v>23</v>
      </c>
      <c r="AU1" s="986" t="s">
        <v>23</v>
      </c>
      <c r="AV1" s="986" t="s">
        <v>23</v>
      </c>
      <c r="AW1" s="986" t="s">
        <v>23</v>
      </c>
      <c r="AX1" s="986" t="s">
        <v>23</v>
      </c>
      <c r="AY1" s="986" t="s">
        <v>23</v>
      </c>
      <c r="AZ1" s="986" t="s">
        <v>23</v>
      </c>
      <c r="BA1" s="986" t="s">
        <v>23</v>
      </c>
      <c r="BB1" s="986" t="s">
        <v>23</v>
      </c>
      <c r="BC1" s="986" t="s">
        <v>23</v>
      </c>
    </row>
    <row r="2" spans="1:55" s="9" customFormat="1" ht="12.75" customHeight="1">
      <c r="A2" s="983" t="s">
        <v>24</v>
      </c>
      <c r="B2" s="987" t="s">
        <v>25</v>
      </c>
      <c r="C2" s="988" t="s">
        <v>25</v>
      </c>
      <c r="D2" s="988" t="s">
        <v>25</v>
      </c>
      <c r="E2" s="988" t="s">
        <v>25</v>
      </c>
      <c r="F2" s="988" t="s">
        <v>25</v>
      </c>
      <c r="G2" s="988" t="s">
        <v>25</v>
      </c>
      <c r="H2" s="988" t="s">
        <v>25</v>
      </c>
      <c r="I2" s="988" t="s">
        <v>25</v>
      </c>
      <c r="J2" s="988" t="s">
        <v>25</v>
      </c>
      <c r="K2" s="988" t="s">
        <v>25</v>
      </c>
      <c r="L2" s="988" t="s">
        <v>25</v>
      </c>
      <c r="M2" s="988" t="s">
        <v>25</v>
      </c>
      <c r="N2" s="988" t="s">
        <v>25</v>
      </c>
      <c r="O2" s="988" t="s">
        <v>25</v>
      </c>
      <c r="P2" s="988" t="s">
        <v>25</v>
      </c>
      <c r="Q2" s="988" t="s">
        <v>25</v>
      </c>
      <c r="R2" s="988" t="s">
        <v>25</v>
      </c>
      <c r="S2" s="988" t="s">
        <v>25</v>
      </c>
      <c r="T2" s="988" t="s">
        <v>25</v>
      </c>
      <c r="U2" s="988" t="s">
        <v>25</v>
      </c>
      <c r="V2" s="988" t="s">
        <v>25</v>
      </c>
      <c r="W2" s="988" t="s">
        <v>25</v>
      </c>
      <c r="X2" s="988" t="s">
        <v>25</v>
      </c>
      <c r="Y2" s="988" t="s">
        <v>25</v>
      </c>
      <c r="Z2" s="988" t="s">
        <v>25</v>
      </c>
      <c r="AA2" s="988" t="s">
        <v>25</v>
      </c>
      <c r="AB2" s="988" t="s">
        <v>25</v>
      </c>
      <c r="AC2" s="988" t="s">
        <v>25</v>
      </c>
      <c r="AD2" s="988" t="s">
        <v>25</v>
      </c>
      <c r="AE2" s="988" t="s">
        <v>25</v>
      </c>
      <c r="AF2" s="988" t="s">
        <v>25</v>
      </c>
      <c r="AG2" s="988" t="s">
        <v>25</v>
      </c>
      <c r="AH2" s="988" t="s">
        <v>25</v>
      </c>
      <c r="AI2" s="988" t="s">
        <v>25</v>
      </c>
      <c r="AJ2" s="988" t="s">
        <v>25</v>
      </c>
      <c r="AK2" s="988" t="s">
        <v>25</v>
      </c>
      <c r="AL2" s="988" t="s">
        <v>25</v>
      </c>
      <c r="AM2" s="988" t="s">
        <v>25</v>
      </c>
      <c r="AN2" s="988" t="s">
        <v>25</v>
      </c>
      <c r="AO2" s="988" t="s">
        <v>25</v>
      </c>
      <c r="AP2" s="988" t="s">
        <v>25</v>
      </c>
      <c r="AQ2" s="988" t="s">
        <v>25</v>
      </c>
      <c r="AR2" s="988" t="s">
        <v>25</v>
      </c>
      <c r="AS2" s="988" t="s">
        <v>25</v>
      </c>
      <c r="AT2" s="988" t="s">
        <v>25</v>
      </c>
      <c r="AU2" s="988" t="s">
        <v>25</v>
      </c>
      <c r="AV2" s="988" t="s">
        <v>25</v>
      </c>
      <c r="AW2" s="988" t="s">
        <v>25</v>
      </c>
      <c r="AX2" s="988" t="s">
        <v>25</v>
      </c>
      <c r="AY2" s="988" t="s">
        <v>25</v>
      </c>
      <c r="AZ2" s="988" t="s">
        <v>25</v>
      </c>
      <c r="BA2" s="988" t="s">
        <v>25</v>
      </c>
      <c r="BB2" s="988" t="s">
        <v>25</v>
      </c>
      <c r="BC2" s="988" t="s">
        <v>25</v>
      </c>
    </row>
    <row r="3" spans="1:55" s="991" customFormat="1" ht="12.75" customHeight="1">
      <c r="A3" s="983" t="s">
        <v>26</v>
      </c>
      <c r="B3" s="989" t="s">
        <v>27</v>
      </c>
      <c r="C3" s="990" t="s">
        <v>28</v>
      </c>
      <c r="D3" s="990" t="s">
        <v>29</v>
      </c>
      <c r="E3" s="990" t="s">
        <v>30</v>
      </c>
      <c r="F3" s="990" t="s">
        <v>31</v>
      </c>
      <c r="G3" s="990" t="s">
        <v>32</v>
      </c>
      <c r="H3" s="990" t="s">
        <v>33</v>
      </c>
      <c r="I3" s="990" t="s">
        <v>34</v>
      </c>
      <c r="J3" s="990" t="s">
        <v>35</v>
      </c>
      <c r="K3" s="990" t="s">
        <v>36</v>
      </c>
      <c r="L3" s="990" t="s">
        <v>37</v>
      </c>
      <c r="M3" s="990" t="s">
        <v>38</v>
      </c>
      <c r="N3" s="990" t="s">
        <v>39</v>
      </c>
      <c r="O3" s="990" t="s">
        <v>40</v>
      </c>
      <c r="P3" s="990" t="s">
        <v>41</v>
      </c>
      <c r="Q3" s="990" t="s">
        <v>42</v>
      </c>
      <c r="R3" s="990" t="s">
        <v>43</v>
      </c>
      <c r="S3" s="990" t="s">
        <v>44</v>
      </c>
      <c r="T3" s="990" t="s">
        <v>45</v>
      </c>
      <c r="U3" s="990" t="s">
        <v>46</v>
      </c>
      <c r="V3" s="990" t="s">
        <v>47</v>
      </c>
      <c r="W3" s="990" t="s">
        <v>48</v>
      </c>
      <c r="X3" s="990" t="s">
        <v>49</v>
      </c>
      <c r="Y3" s="990" t="s">
        <v>50</v>
      </c>
      <c r="Z3" s="990" t="s">
        <v>51</v>
      </c>
      <c r="AA3" s="990" t="s">
        <v>52</v>
      </c>
      <c r="AB3" s="990" t="s">
        <v>53</v>
      </c>
      <c r="AC3" s="990" t="s">
        <v>54</v>
      </c>
      <c r="AD3" s="990" t="s">
        <v>55</v>
      </c>
      <c r="AE3" s="990" t="s">
        <v>56</v>
      </c>
      <c r="AF3" s="990" t="s">
        <v>57</v>
      </c>
      <c r="AG3" s="990" t="s">
        <v>58</v>
      </c>
      <c r="AH3" s="990" t="s">
        <v>59</v>
      </c>
      <c r="AI3" s="990" t="s">
        <v>60</v>
      </c>
      <c r="AJ3" s="989" t="s">
        <v>61</v>
      </c>
      <c r="AK3" s="990" t="s">
        <v>62</v>
      </c>
      <c r="AL3" s="990" t="s">
        <v>2240</v>
      </c>
      <c r="AM3" s="990" t="s">
        <v>63</v>
      </c>
      <c r="AN3" s="990" t="s">
        <v>64</v>
      </c>
      <c r="AO3" s="990" t="s">
        <v>65</v>
      </c>
      <c r="AP3" s="990" t="s">
        <v>66</v>
      </c>
      <c r="AQ3" s="1133" t="s">
        <v>67</v>
      </c>
      <c r="AR3" s="990" t="s">
        <v>68</v>
      </c>
      <c r="AS3" s="990" t="s">
        <v>69</v>
      </c>
      <c r="AT3" s="990" t="s">
        <v>70</v>
      </c>
      <c r="AU3" s="990" t="s">
        <v>71</v>
      </c>
      <c r="AV3" s="990" t="s">
        <v>72</v>
      </c>
      <c r="AW3" s="990" t="s">
        <v>73</v>
      </c>
      <c r="AX3" s="990" t="s">
        <v>74</v>
      </c>
      <c r="AY3" s="990" t="s">
        <v>75</v>
      </c>
      <c r="AZ3" s="990" t="s">
        <v>76</v>
      </c>
      <c r="BA3" s="990" t="s">
        <v>77</v>
      </c>
      <c r="BB3" s="990" t="s">
        <v>78</v>
      </c>
      <c r="BC3" s="990" t="s">
        <v>79</v>
      </c>
    </row>
    <row r="4" spans="1:55" s="1000" customFormat="1" ht="165.75">
      <c r="A4" s="992" t="s">
        <v>80</v>
      </c>
      <c r="B4" s="993" t="s">
        <v>99</v>
      </c>
      <c r="C4" s="994" t="s">
        <v>100</v>
      </c>
      <c r="D4" s="995" t="s">
        <v>1114</v>
      </c>
      <c r="E4" s="1156" t="s">
        <v>1306</v>
      </c>
      <c r="F4" s="997" t="s">
        <v>101</v>
      </c>
      <c r="G4" s="998"/>
      <c r="H4" s="998"/>
      <c r="I4" s="994" t="s">
        <v>102</v>
      </c>
      <c r="J4" s="998"/>
      <c r="K4" s="996"/>
      <c r="L4" s="994"/>
      <c r="M4" s="999"/>
      <c r="N4" s="997" t="s">
        <v>103</v>
      </c>
      <c r="O4" s="998"/>
      <c r="P4" s="996"/>
      <c r="Q4" s="997" t="s">
        <v>104</v>
      </c>
      <c r="R4" s="998"/>
      <c r="S4" s="994"/>
      <c r="T4" s="997" t="s">
        <v>105</v>
      </c>
      <c r="U4" s="994"/>
      <c r="V4" s="1179"/>
      <c r="W4" s="994" t="s">
        <v>106</v>
      </c>
      <c r="X4" s="995" t="s">
        <v>1114</v>
      </c>
      <c r="Y4" s="998"/>
      <c r="Z4" s="994" t="s">
        <v>107</v>
      </c>
      <c r="AA4" s="996"/>
      <c r="AB4" s="996"/>
      <c r="AC4" s="998"/>
      <c r="AD4" s="998"/>
      <c r="AE4" s="998"/>
      <c r="AF4" s="998"/>
      <c r="AG4" s="997" t="s">
        <v>1465</v>
      </c>
      <c r="AH4" s="998"/>
      <c r="AI4" s="998"/>
      <c r="AJ4" s="998"/>
      <c r="AK4" s="998"/>
      <c r="AL4" s="1060"/>
      <c r="AM4" s="998"/>
      <c r="AN4" s="998"/>
      <c r="AO4" s="998"/>
      <c r="AP4" s="998"/>
      <c r="AQ4" s="998"/>
      <c r="AR4" s="998"/>
      <c r="AS4" s="998"/>
      <c r="AT4" s="998"/>
      <c r="AU4" s="998"/>
      <c r="AV4" s="998"/>
      <c r="AW4" s="998"/>
      <c r="AX4" s="998"/>
      <c r="AY4" s="998"/>
      <c r="AZ4" s="998"/>
      <c r="BA4" s="998"/>
      <c r="BB4" s="998"/>
      <c r="BC4" s="998"/>
    </row>
    <row r="5" spans="1:55" s="9" customFormat="1" ht="132.75" customHeight="1" thickBot="1">
      <c r="A5" s="992" t="s">
        <v>108</v>
      </c>
      <c r="B5" s="1001"/>
      <c r="C5" s="994" t="s">
        <v>110</v>
      </c>
      <c r="D5" s="997" t="s">
        <v>19</v>
      </c>
      <c r="E5" s="1156"/>
      <c r="F5" s="997" t="s">
        <v>111</v>
      </c>
      <c r="G5" s="1002" t="s">
        <v>270</v>
      </c>
      <c r="H5" s="1002" t="s">
        <v>270</v>
      </c>
      <c r="I5" s="997" t="s">
        <v>113</v>
      </c>
      <c r="J5" s="1002" t="s">
        <v>270</v>
      </c>
      <c r="K5" s="996" t="s">
        <v>112</v>
      </c>
      <c r="L5" s="994"/>
      <c r="M5" s="1003" t="s">
        <v>114</v>
      </c>
      <c r="N5" s="994"/>
      <c r="O5" s="1002" t="s">
        <v>270</v>
      </c>
      <c r="P5" s="1002" t="s">
        <v>270</v>
      </c>
      <c r="Q5" s="994"/>
      <c r="R5" s="1002" t="s">
        <v>270</v>
      </c>
      <c r="S5" s="1004" t="s">
        <v>115</v>
      </c>
      <c r="T5" s="994"/>
      <c r="U5" s="997" t="s">
        <v>116</v>
      </c>
      <c r="V5" s="1067"/>
      <c r="W5" s="999"/>
      <c r="X5" s="997" t="s">
        <v>19</v>
      </c>
      <c r="Y5" s="1002" t="s">
        <v>270</v>
      </c>
      <c r="Z5" s="1005"/>
      <c r="AA5" s="1002" t="s">
        <v>270</v>
      </c>
      <c r="AB5" s="1002" t="s">
        <v>270</v>
      </c>
      <c r="AC5" s="1002" t="s">
        <v>270</v>
      </c>
      <c r="AD5" s="1002" t="s">
        <v>270</v>
      </c>
      <c r="AE5" s="1002" t="s">
        <v>270</v>
      </c>
      <c r="AF5" s="1002" t="s">
        <v>270</v>
      </c>
      <c r="AG5" s="1003" t="s">
        <v>1464</v>
      </c>
      <c r="AH5" s="1002" t="s">
        <v>270</v>
      </c>
      <c r="AI5" s="1002" t="s">
        <v>270</v>
      </c>
      <c r="AJ5" s="1002" t="s">
        <v>270</v>
      </c>
      <c r="AK5" s="1002" t="s">
        <v>270</v>
      </c>
      <c r="AL5" s="1003"/>
      <c r="AM5" s="1002" t="s">
        <v>270</v>
      </c>
      <c r="AN5" s="1002" t="s">
        <v>270</v>
      </c>
      <c r="AO5" s="1002" t="s">
        <v>270</v>
      </c>
      <c r="AP5" s="1002" t="s">
        <v>270</v>
      </c>
      <c r="AQ5" s="1002" t="s">
        <v>270</v>
      </c>
      <c r="AR5" s="1002" t="s">
        <v>270</v>
      </c>
      <c r="AS5" s="1002" t="s">
        <v>270</v>
      </c>
      <c r="AT5" s="1002" t="s">
        <v>270</v>
      </c>
      <c r="AU5" s="1002" t="s">
        <v>270</v>
      </c>
      <c r="AV5" s="1002" t="s">
        <v>270</v>
      </c>
      <c r="AW5" s="1002" t="s">
        <v>270</v>
      </c>
      <c r="AX5" s="1002" t="s">
        <v>270</v>
      </c>
      <c r="AY5" s="1006" t="s">
        <v>271</v>
      </c>
      <c r="AZ5" s="1002" t="s">
        <v>270</v>
      </c>
      <c r="BA5" s="1002" t="s">
        <v>270</v>
      </c>
      <c r="BB5" s="1002" t="s">
        <v>270</v>
      </c>
      <c r="BC5" s="1002" t="s">
        <v>270</v>
      </c>
    </row>
    <row r="6" spans="1:55" ht="54" customHeight="1">
      <c r="A6" s="1007" t="s">
        <v>117</v>
      </c>
      <c r="B6" s="1256" t="s">
        <v>118</v>
      </c>
      <c r="C6" s="1257" t="s">
        <v>119</v>
      </c>
      <c r="D6" s="1257" t="s">
        <v>120</v>
      </c>
      <c r="E6" s="1258" t="s">
        <v>121</v>
      </c>
      <c r="F6" s="1256" t="s">
        <v>122</v>
      </c>
      <c r="G6" s="1258" t="s">
        <v>123</v>
      </c>
      <c r="H6" s="1258" t="s">
        <v>124</v>
      </c>
      <c r="I6" s="1257" t="s">
        <v>125</v>
      </c>
      <c r="J6" s="1259" t="s">
        <v>126</v>
      </c>
      <c r="K6" s="1259" t="s">
        <v>127</v>
      </c>
      <c r="L6" s="1256" t="s">
        <v>128</v>
      </c>
      <c r="M6" s="1257" t="s">
        <v>129</v>
      </c>
      <c r="N6" s="1257" t="s">
        <v>130</v>
      </c>
      <c r="O6" s="1258" t="s">
        <v>131</v>
      </c>
      <c r="P6" s="1258" t="s">
        <v>132</v>
      </c>
      <c r="Q6" s="1257" t="s">
        <v>133</v>
      </c>
      <c r="R6" s="1258" t="s">
        <v>134</v>
      </c>
      <c r="S6" s="1257" t="s">
        <v>135</v>
      </c>
      <c r="T6" s="1257" t="s">
        <v>136</v>
      </c>
      <c r="U6" s="1257" t="s">
        <v>137</v>
      </c>
      <c r="V6" s="1257" t="s">
        <v>138</v>
      </c>
      <c r="W6" s="1257" t="s">
        <v>139</v>
      </c>
      <c r="X6" s="1256" t="s">
        <v>140</v>
      </c>
      <c r="Y6" s="1258" t="s">
        <v>141</v>
      </c>
      <c r="Z6" s="1257" t="s">
        <v>142</v>
      </c>
      <c r="AA6" s="1258" t="s">
        <v>143</v>
      </c>
      <c r="AB6" s="1258" t="s">
        <v>144</v>
      </c>
      <c r="AC6" s="1258" t="s">
        <v>145</v>
      </c>
      <c r="AD6" s="1258" t="s">
        <v>146</v>
      </c>
      <c r="AE6" s="1258" t="s">
        <v>147</v>
      </c>
      <c r="AF6" s="1258" t="s">
        <v>148</v>
      </c>
      <c r="AG6" s="1256" t="s">
        <v>149</v>
      </c>
      <c r="AH6" s="1258" t="s">
        <v>150</v>
      </c>
      <c r="AI6" s="1258" t="s">
        <v>151</v>
      </c>
      <c r="AJ6" s="1258" t="s">
        <v>152</v>
      </c>
      <c r="AK6" s="1259" t="s">
        <v>153</v>
      </c>
      <c r="AL6" s="1256" t="s">
        <v>154</v>
      </c>
      <c r="AM6" s="1258" t="s">
        <v>155</v>
      </c>
      <c r="AN6" s="1259" t="s">
        <v>181</v>
      </c>
      <c r="AO6" s="1258" t="s">
        <v>182</v>
      </c>
      <c r="AP6" s="1258" t="s">
        <v>183</v>
      </c>
      <c r="AQ6" s="1258" t="s">
        <v>184</v>
      </c>
      <c r="AR6" s="1259" t="s">
        <v>185</v>
      </c>
      <c r="AS6" s="1258" t="s">
        <v>186</v>
      </c>
      <c r="AT6" s="1258" t="s">
        <v>190</v>
      </c>
      <c r="AU6" s="1258" t="s">
        <v>191</v>
      </c>
      <c r="AV6" s="1258" t="s">
        <v>192</v>
      </c>
      <c r="AW6" s="1258" t="s">
        <v>193</v>
      </c>
      <c r="AX6" s="1259" t="s">
        <v>194</v>
      </c>
      <c r="AY6" s="1259" t="s">
        <v>195</v>
      </c>
      <c r="AZ6" s="1258" t="s">
        <v>196</v>
      </c>
      <c r="BA6" s="1259" t="s">
        <v>197</v>
      </c>
      <c r="BB6" s="1259" t="s">
        <v>198</v>
      </c>
      <c r="BC6" s="1259" t="s">
        <v>199</v>
      </c>
    </row>
    <row r="7" spans="1:55" s="991" customFormat="1" ht="26.25" thickBot="1">
      <c r="A7" s="1012" t="s">
        <v>272</v>
      </c>
      <c r="B7" s="1254" t="s">
        <v>27</v>
      </c>
      <c r="C7" s="1174" t="s">
        <v>28</v>
      </c>
      <c r="D7" s="1174" t="s">
        <v>29</v>
      </c>
      <c r="E7" s="1174" t="s">
        <v>30</v>
      </c>
      <c r="F7" s="1174" t="s">
        <v>31</v>
      </c>
      <c r="G7" s="1174" t="s">
        <v>32</v>
      </c>
      <c r="H7" s="1174" t="s">
        <v>33</v>
      </c>
      <c r="I7" s="1174" t="s">
        <v>34</v>
      </c>
      <c r="J7" s="1174" t="s">
        <v>35</v>
      </c>
      <c r="K7" s="1174" t="s">
        <v>36</v>
      </c>
      <c r="L7" s="1174" t="s">
        <v>37</v>
      </c>
      <c r="M7" s="1174" t="s">
        <v>38</v>
      </c>
      <c r="N7" s="1174" t="s">
        <v>39</v>
      </c>
      <c r="O7" s="1174" t="s">
        <v>40</v>
      </c>
      <c r="P7" s="1174" t="s">
        <v>41</v>
      </c>
      <c r="Q7" s="1174" t="s">
        <v>42</v>
      </c>
      <c r="R7" s="1174" t="s">
        <v>43</v>
      </c>
      <c r="S7" s="1174" t="s">
        <v>44</v>
      </c>
      <c r="T7" s="1174" t="s">
        <v>45</v>
      </c>
      <c r="U7" s="1174" t="s">
        <v>46</v>
      </c>
      <c r="V7" s="1174" t="s">
        <v>47</v>
      </c>
      <c r="W7" s="1174" t="s">
        <v>48</v>
      </c>
      <c r="X7" s="1174" t="s">
        <v>49</v>
      </c>
      <c r="Y7" s="1174" t="s">
        <v>50</v>
      </c>
      <c r="Z7" s="1174" t="s">
        <v>51</v>
      </c>
      <c r="AA7" s="1174" t="s">
        <v>52</v>
      </c>
      <c r="AB7" s="1174" t="s">
        <v>53</v>
      </c>
      <c r="AC7" s="1174" t="s">
        <v>54</v>
      </c>
      <c r="AD7" s="1174" t="s">
        <v>55</v>
      </c>
      <c r="AE7" s="1174" t="s">
        <v>56</v>
      </c>
      <c r="AF7" s="1174" t="s">
        <v>57</v>
      </c>
      <c r="AG7" s="1174" t="s">
        <v>58</v>
      </c>
      <c r="AH7" s="1174" t="s">
        <v>59</v>
      </c>
      <c r="AI7" s="1174" t="s">
        <v>60</v>
      </c>
      <c r="AJ7" s="1173" t="s">
        <v>61</v>
      </c>
      <c r="AK7" s="1174" t="s">
        <v>62</v>
      </c>
      <c r="AL7" s="1174" t="s">
        <v>2240</v>
      </c>
      <c r="AM7" s="1174" t="s">
        <v>63</v>
      </c>
      <c r="AN7" s="1174" t="s">
        <v>64</v>
      </c>
      <c r="AO7" s="1174" t="s">
        <v>65</v>
      </c>
      <c r="AP7" s="1174" t="s">
        <v>66</v>
      </c>
      <c r="AQ7" s="1174" t="s">
        <v>67</v>
      </c>
      <c r="AR7" s="1174" t="s">
        <v>68</v>
      </c>
      <c r="AS7" s="1174" t="s">
        <v>69</v>
      </c>
      <c r="AT7" s="1174" t="s">
        <v>70</v>
      </c>
      <c r="AU7" s="1174" t="s">
        <v>71</v>
      </c>
      <c r="AV7" s="1174" t="s">
        <v>72</v>
      </c>
      <c r="AW7" s="1174" t="s">
        <v>73</v>
      </c>
      <c r="AX7" s="1174" t="s">
        <v>74</v>
      </c>
      <c r="AY7" s="1174" t="s">
        <v>75</v>
      </c>
      <c r="AZ7" s="1174" t="s">
        <v>76</v>
      </c>
      <c r="BA7" s="1174" t="s">
        <v>77</v>
      </c>
      <c r="BB7" s="1174" t="s">
        <v>78</v>
      </c>
      <c r="BC7" s="1255" t="s">
        <v>79</v>
      </c>
    </row>
    <row r="8" spans="1:55" ht="12.75">
      <c r="A8" s="1013"/>
      <c r="B8" s="1260">
        <f>'Design Data'!C10</f>
        <v>0</v>
      </c>
      <c r="C8" s="1261" t="s">
        <v>200</v>
      </c>
      <c r="D8" s="1261">
        <f>'Design Data'!S82</f>
        <v>0</v>
      </c>
      <c r="E8" s="1262">
        <f>'Design Data'!H16</f>
        <v>0</v>
      </c>
      <c r="F8" s="1261">
        <f>'Design Data'!S82</f>
        <v>0</v>
      </c>
      <c r="G8" s="1263" t="s">
        <v>905</v>
      </c>
      <c r="H8" s="1263" t="s">
        <v>905</v>
      </c>
      <c r="I8" s="1261">
        <f>LEFT('Design Data'!C10,2)</f>
      </c>
      <c r="J8" s="1263" t="s">
        <v>905</v>
      </c>
      <c r="K8" s="1264"/>
      <c r="L8" s="1261">
        <f>'Design Data'!S82</f>
        <v>0</v>
      </c>
      <c r="M8" s="1265">
        <f>'Design Data'!H14</f>
        <v>0</v>
      </c>
      <c r="N8" s="1261">
        <f>'Design Data'!Q16</f>
      </c>
      <c r="O8" s="1263" t="s">
        <v>905</v>
      </c>
      <c r="P8" s="1263" t="s">
        <v>905</v>
      </c>
      <c r="Q8" s="1266">
        <f>'Design Data'!Q14</f>
      </c>
      <c r="R8" s="1263" t="s">
        <v>905</v>
      </c>
      <c r="S8" s="1261">
        <f>t_rmks_dtl!B8</f>
      </c>
      <c r="T8" s="1261" t="s">
        <v>1462</v>
      </c>
      <c r="U8" s="1267">
        <f>'Design Data'!H16</f>
        <v>0</v>
      </c>
      <c r="V8" s="1261">
        <f>'Design Data'!H10</f>
        <v>0</v>
      </c>
      <c r="W8" s="1268" t="s">
        <v>200</v>
      </c>
      <c r="X8" s="1261">
        <f>'Design Data'!K16</f>
        <v>0</v>
      </c>
      <c r="Y8" s="1263" t="s">
        <v>905</v>
      </c>
      <c r="Z8" s="1269" t="s">
        <v>201</v>
      </c>
      <c r="AA8" s="1263" t="s">
        <v>905</v>
      </c>
      <c r="AB8" s="1263" t="s">
        <v>905</v>
      </c>
      <c r="AC8" s="1263" t="s">
        <v>905</v>
      </c>
      <c r="AD8" s="1263" t="s">
        <v>905</v>
      </c>
      <c r="AE8" s="1263" t="s">
        <v>905</v>
      </c>
      <c r="AF8" s="1263" t="s">
        <v>905</v>
      </c>
      <c r="AG8" s="1270" t="s">
        <v>1463</v>
      </c>
      <c r="AH8" s="1263" t="s">
        <v>905</v>
      </c>
      <c r="AI8" s="1263" t="s">
        <v>905</v>
      </c>
      <c r="AJ8" s="1263" t="s">
        <v>905</v>
      </c>
      <c r="AK8" s="1263" t="s">
        <v>905</v>
      </c>
      <c r="AL8" s="1261">
        <f>'Design Data'!Q12</f>
        <v>0</v>
      </c>
      <c r="AM8" s="1263" t="s">
        <v>905</v>
      </c>
      <c r="AN8" s="1263" t="s">
        <v>905</v>
      </c>
      <c r="AO8" s="1263" t="s">
        <v>905</v>
      </c>
      <c r="AP8" s="1263" t="s">
        <v>905</v>
      </c>
      <c r="AQ8" s="1271"/>
      <c r="AR8" s="1263" t="s">
        <v>905</v>
      </c>
      <c r="AS8" s="1263" t="s">
        <v>905</v>
      </c>
      <c r="AT8" s="1263" t="s">
        <v>905</v>
      </c>
      <c r="AU8" s="1263" t="s">
        <v>905</v>
      </c>
      <c r="AV8" s="1263" t="s">
        <v>905</v>
      </c>
      <c r="AW8" s="1263" t="s">
        <v>905</v>
      </c>
      <c r="AX8" s="1263" t="s">
        <v>905</v>
      </c>
      <c r="AY8" s="1264"/>
      <c r="AZ8" s="1263" t="s">
        <v>905</v>
      </c>
      <c r="BA8" s="1263" t="s">
        <v>905</v>
      </c>
      <c r="BB8" s="1263" t="s">
        <v>905</v>
      </c>
      <c r="BC8" s="1272" t="s">
        <v>905</v>
      </c>
    </row>
  </sheetData>
  <sheetProtection/>
  <printOptions/>
  <pageMargins left="0.4" right="0.26" top="1" bottom="1" header="0.5" footer="0.5"/>
  <pageSetup fitToWidth="0" fitToHeight="1" horizontalDpi="600" verticalDpi="600" orientation="landscape" paperSize="17" r:id="rId3"/>
  <headerFooter alignWithMargins="0">
    <oddHeader>&amp;C&amp;F</oddHeader>
    <oddFooter>&amp;L&amp;A&amp;CPage &amp;P of &amp;N</oddFooter>
  </headerFooter>
  <legacyDrawing r:id="rId2"/>
</worksheet>
</file>

<file path=xl/worksheets/sheet15.xml><?xml version="1.0" encoding="utf-8"?>
<worksheet xmlns="http://schemas.openxmlformats.org/spreadsheetml/2006/main" xmlns:r="http://schemas.openxmlformats.org/officeDocument/2006/relationships">
  <sheetPr codeName="Sheet16">
    <tabColor indexed="45"/>
  </sheetPr>
  <dimension ref="A1:M8"/>
  <sheetViews>
    <sheetView zoomScale="75" zoomScaleNormal="75" zoomScalePageLayoutView="0" workbookViewId="0" topLeftCell="A1">
      <pane xSplit="1" ySplit="7" topLeftCell="B8" activePane="bottomRight" state="frozen"/>
      <selection pane="topLeft" activeCell="C9" sqref="C9"/>
      <selection pane="topRight" activeCell="C9" sqref="C9"/>
      <selection pane="bottomLeft" activeCell="C9" sqref="C9"/>
      <selection pane="bottomRight" activeCell="B8" sqref="B8:H8"/>
    </sheetView>
  </sheetViews>
  <sheetFormatPr defaultColWidth="9.140625" defaultRowHeight="12.75"/>
  <cols>
    <col min="1" max="1" width="45.7109375" style="0" customWidth="1"/>
    <col min="2" max="2" width="22.421875" style="0" customWidth="1"/>
    <col min="3" max="5" width="15.140625" style="0" customWidth="1"/>
    <col min="6" max="6" width="37.8515625" style="0" customWidth="1"/>
    <col min="7" max="7" width="17.7109375" style="0" customWidth="1"/>
    <col min="8" max="8" width="16.7109375" style="0" customWidth="1"/>
    <col min="11" max="13" width="9.8515625" style="0" customWidth="1"/>
  </cols>
  <sheetData>
    <row r="1" spans="1:8" ht="12.75">
      <c r="A1" s="983" t="s">
        <v>21</v>
      </c>
      <c r="B1" s="984" t="s">
        <v>202</v>
      </c>
      <c r="G1" s="1014"/>
      <c r="H1" s="1015" t="s">
        <v>22</v>
      </c>
    </row>
    <row r="2" spans="1:8" ht="12.75">
      <c r="A2" s="983" t="s">
        <v>24</v>
      </c>
      <c r="B2" s="1016" t="s">
        <v>2237</v>
      </c>
      <c r="C2" s="1017" t="s">
        <v>2237</v>
      </c>
      <c r="D2" s="1016" t="s">
        <v>2237</v>
      </c>
      <c r="E2" s="1016" t="s">
        <v>2237</v>
      </c>
      <c r="F2" s="1016" t="s">
        <v>2237</v>
      </c>
      <c r="G2" s="1016" t="s">
        <v>2237</v>
      </c>
      <c r="H2" s="1016" t="s">
        <v>2237</v>
      </c>
    </row>
    <row r="3" spans="1:8" ht="13.5" thickBot="1">
      <c r="A3" s="983" t="s">
        <v>26</v>
      </c>
      <c r="B3" s="989" t="s">
        <v>27</v>
      </c>
      <c r="C3" s="1018" t="s">
        <v>203</v>
      </c>
      <c r="D3" s="1019" t="s">
        <v>2238</v>
      </c>
      <c r="E3" s="1019" t="s">
        <v>2239</v>
      </c>
      <c r="F3" s="1019" t="s">
        <v>2240</v>
      </c>
      <c r="G3" s="787" t="s">
        <v>37</v>
      </c>
      <c r="H3" s="787" t="s">
        <v>36</v>
      </c>
    </row>
    <row r="4" spans="1:13" ht="102" customHeight="1" thickBot="1">
      <c r="A4" s="992" t="s">
        <v>80</v>
      </c>
      <c r="B4" s="1104" t="s">
        <v>99</v>
      </c>
      <c r="C4" s="1814" t="s">
        <v>1888</v>
      </c>
      <c r="D4" s="1815"/>
      <c r="E4" s="1816"/>
      <c r="F4" s="1157"/>
      <c r="G4" s="1020"/>
      <c r="H4" s="1021"/>
      <c r="J4" s="1061"/>
      <c r="K4" s="1062"/>
      <c r="L4" s="391"/>
      <c r="M4" s="391"/>
    </row>
    <row r="5" spans="1:8" ht="51.75" thickBot="1">
      <c r="A5" s="992" t="s">
        <v>108</v>
      </c>
      <c r="B5" s="1001"/>
      <c r="C5" s="1022"/>
      <c r="D5" s="1023" t="s">
        <v>273</v>
      </c>
      <c r="E5" s="1024"/>
      <c r="F5" s="1025"/>
      <c r="G5" s="1026"/>
      <c r="H5" s="1027" t="s">
        <v>112</v>
      </c>
    </row>
    <row r="6" spans="1:8" ht="26.25" thickBot="1">
      <c r="A6" s="1007" t="s">
        <v>117</v>
      </c>
      <c r="B6" s="1256" t="s">
        <v>118</v>
      </c>
      <c r="C6" s="1257" t="s">
        <v>204</v>
      </c>
      <c r="D6" s="1274" t="s">
        <v>205</v>
      </c>
      <c r="E6" s="1274" t="s">
        <v>206</v>
      </c>
      <c r="F6" s="1274" t="s">
        <v>207</v>
      </c>
      <c r="G6" s="1256" t="s">
        <v>128</v>
      </c>
      <c r="H6" s="1259" t="s">
        <v>127</v>
      </c>
    </row>
    <row r="7" spans="1:8" ht="26.25" thickBot="1">
      <c r="A7" s="1012" t="s">
        <v>272</v>
      </c>
      <c r="B7" s="1254" t="s">
        <v>27</v>
      </c>
      <c r="C7" s="1137" t="s">
        <v>203</v>
      </c>
      <c r="D7" s="1137" t="s">
        <v>2238</v>
      </c>
      <c r="E7" s="1137" t="s">
        <v>2239</v>
      </c>
      <c r="F7" s="1137" t="s">
        <v>2240</v>
      </c>
      <c r="G7" s="1175" t="s">
        <v>37</v>
      </c>
      <c r="H7" s="1273" t="s">
        <v>36</v>
      </c>
    </row>
    <row r="8" spans="1:8" ht="12.75">
      <c r="A8" s="1013"/>
      <c r="B8" s="1260">
        <f>'Design Data'!C10</f>
        <v>0</v>
      </c>
      <c r="C8" s="1275">
        <f>'Design Data'!C8</f>
        <v>0</v>
      </c>
      <c r="D8" s="1276" t="s">
        <v>2124</v>
      </c>
      <c r="E8" s="1276" t="s">
        <v>2124</v>
      </c>
      <c r="F8" s="1276" t="s">
        <v>2124</v>
      </c>
      <c r="G8" s="1277">
        <f>'Design Data'!S82</f>
        <v>0</v>
      </c>
      <c r="H8" s="1278"/>
    </row>
  </sheetData>
  <sheetProtection/>
  <mergeCells count="1">
    <mergeCell ref="C4:E4"/>
  </mergeCells>
  <printOptions/>
  <pageMargins left="0.75" right="0.75" top="1" bottom="1" header="0.5" footer="0.5"/>
  <pageSetup horizontalDpi="600" verticalDpi="600" orientation="landscape" paperSize="17" r:id="rId3"/>
  <headerFooter alignWithMargins="0">
    <oddHeader>&amp;C&amp;F</oddHeader>
    <oddFooter>&amp;L&amp;A&amp;CPage &amp;P of &amp;N</oddFooter>
  </headerFooter>
  <legacyDrawing r:id="rId2"/>
</worksheet>
</file>

<file path=xl/worksheets/sheet16.xml><?xml version="1.0" encoding="utf-8"?>
<worksheet xmlns="http://schemas.openxmlformats.org/spreadsheetml/2006/main" xmlns:r="http://schemas.openxmlformats.org/officeDocument/2006/relationships">
  <sheetPr codeName="Sheet17">
    <tabColor indexed="45"/>
    <pageSetUpPr fitToPage="1"/>
  </sheetPr>
  <dimension ref="A1:G8"/>
  <sheetViews>
    <sheetView zoomScale="75" zoomScaleNormal="75" zoomScalePageLayoutView="0" workbookViewId="0" topLeftCell="A1">
      <pane xSplit="2" ySplit="7" topLeftCell="E8" activePane="bottomRight" state="frozen"/>
      <selection pane="topLeft" activeCell="C9" sqref="C9"/>
      <selection pane="topRight" activeCell="C9" sqref="C9"/>
      <selection pane="bottomLeft" activeCell="C9" sqref="C9"/>
      <selection pane="bottomRight" activeCell="B8" sqref="B8:G8"/>
    </sheetView>
  </sheetViews>
  <sheetFormatPr defaultColWidth="9.140625" defaultRowHeight="12.75"/>
  <cols>
    <col min="1" max="1" width="45.7109375" style="0" customWidth="1"/>
    <col min="2" max="2" width="34.8515625" style="0" customWidth="1"/>
    <col min="3" max="3" width="11.7109375" style="0" customWidth="1"/>
    <col min="4" max="4" width="12.7109375" style="0" customWidth="1"/>
    <col min="5" max="5" width="81.28125" style="0" customWidth="1"/>
    <col min="6" max="6" width="17.7109375" style="0" customWidth="1"/>
    <col min="7" max="7" width="16.7109375" style="0" customWidth="1"/>
  </cols>
  <sheetData>
    <row r="1" spans="1:7" s="9" customFormat="1" ht="12.75" customHeight="1">
      <c r="A1" s="983" t="s">
        <v>21</v>
      </c>
      <c r="B1" s="1028"/>
      <c r="C1" s="1029"/>
      <c r="D1" s="1029"/>
      <c r="E1" s="1029"/>
      <c r="F1" s="1029"/>
      <c r="G1" s="1030" t="s">
        <v>22</v>
      </c>
    </row>
    <row r="2" spans="1:7" s="9" customFormat="1" ht="12.75" customHeight="1">
      <c r="A2" s="983" t="s">
        <v>24</v>
      </c>
      <c r="B2" s="1031" t="s">
        <v>208</v>
      </c>
      <c r="C2" s="1032" t="s">
        <v>208</v>
      </c>
      <c r="D2" s="1032" t="s">
        <v>208</v>
      </c>
      <c r="E2" s="1032" t="s">
        <v>208</v>
      </c>
      <c r="F2" s="1032" t="s">
        <v>208</v>
      </c>
      <c r="G2" s="1033" t="s">
        <v>208</v>
      </c>
    </row>
    <row r="3" spans="1:7" s="991" customFormat="1" ht="12.75" customHeight="1" thickBot="1">
      <c r="A3" s="983" t="s">
        <v>26</v>
      </c>
      <c r="B3" s="1106" t="s">
        <v>44</v>
      </c>
      <c r="C3" s="1034" t="s">
        <v>209</v>
      </c>
      <c r="D3" s="1034" t="s">
        <v>210</v>
      </c>
      <c r="E3" s="974" t="s">
        <v>211</v>
      </c>
      <c r="F3" s="974" t="s">
        <v>37</v>
      </c>
      <c r="G3" s="1034" t="s">
        <v>36</v>
      </c>
    </row>
    <row r="4" spans="1:7" s="1000" customFormat="1" ht="60.75" thickBot="1">
      <c r="A4" s="992" t="s">
        <v>80</v>
      </c>
      <c r="B4" s="1110" t="s">
        <v>99</v>
      </c>
      <c r="C4" s="1111"/>
      <c r="D4" s="1112"/>
      <c r="E4" s="1105"/>
      <c r="F4" s="928"/>
      <c r="G4" s="785"/>
    </row>
    <row r="5" spans="1:7" s="9" customFormat="1" ht="26.25" thickBot="1">
      <c r="A5" s="992" t="s">
        <v>108</v>
      </c>
      <c r="B5" s="1107"/>
      <c r="C5" s="1108"/>
      <c r="D5" s="1109"/>
      <c r="E5" s="1035" t="s">
        <v>274</v>
      </c>
      <c r="F5" s="1035"/>
      <c r="G5" s="1027" t="s">
        <v>112</v>
      </c>
    </row>
    <row r="6" spans="1:7" ht="54" customHeight="1">
      <c r="A6" s="1007" t="s">
        <v>117</v>
      </c>
      <c r="B6" s="1257" t="s">
        <v>212</v>
      </c>
      <c r="C6" s="1257" t="s">
        <v>213</v>
      </c>
      <c r="D6" s="1257" t="s">
        <v>214</v>
      </c>
      <c r="E6" s="1257" t="s">
        <v>215</v>
      </c>
      <c r="F6" s="1257" t="s">
        <v>128</v>
      </c>
      <c r="G6" s="1258" t="s">
        <v>127</v>
      </c>
    </row>
    <row r="7" spans="1:7" s="991" customFormat="1" ht="27.75" customHeight="1" thickBot="1">
      <c r="A7" s="1012" t="s">
        <v>272</v>
      </c>
      <c r="B7" s="1250" t="s">
        <v>44</v>
      </c>
      <c r="C7" s="1171" t="s">
        <v>209</v>
      </c>
      <c r="D7" s="1171" t="s">
        <v>210</v>
      </c>
      <c r="E7" s="1171" t="s">
        <v>211</v>
      </c>
      <c r="F7" s="1171" t="s">
        <v>37</v>
      </c>
      <c r="G7" s="1279" t="s">
        <v>36</v>
      </c>
    </row>
    <row r="8" spans="1:7" ht="12.75">
      <c r="A8" s="1013"/>
      <c r="B8" s="1280">
        <f ca="1">IF(E8=0,"",CONCATENATE('Design Data'!S82,TEXT(NOW(),"yyyymmddhhmmss"),RIGHT('Design Data'!C10,4)))</f>
      </c>
      <c r="C8" s="1261" t="s">
        <v>216</v>
      </c>
      <c r="D8" s="1261">
        <v>1</v>
      </c>
      <c r="E8" s="1281">
        <f>'Design Data'!A121</f>
        <v>0</v>
      </c>
      <c r="F8" s="1282">
        <f>'Design Data'!S82</f>
        <v>0</v>
      </c>
      <c r="G8" s="1283"/>
    </row>
  </sheetData>
  <sheetProtection/>
  <printOptions/>
  <pageMargins left="0.4" right="0.26" top="1" bottom="1" header="0.5" footer="0.5"/>
  <pageSetup fitToHeight="1" fitToWidth="1" horizontalDpi="600" verticalDpi="600" orientation="landscape" paperSize="17" scale="61" r:id="rId3"/>
  <headerFooter alignWithMargins="0">
    <oddHeader>&amp;C&amp;F</oddHeader>
    <oddFooter>&amp;L&amp;A&amp;CPage &amp;P of &amp;N</oddFooter>
  </headerFooter>
  <legacyDrawing r:id="rId2"/>
</worksheet>
</file>

<file path=xl/worksheets/sheet17.xml><?xml version="1.0" encoding="utf-8"?>
<worksheet xmlns="http://schemas.openxmlformats.org/spreadsheetml/2006/main" xmlns:r="http://schemas.openxmlformats.org/officeDocument/2006/relationships">
  <sheetPr codeName="Sheet18">
    <tabColor indexed="45"/>
    <pageSetUpPr fitToPage="1"/>
  </sheetPr>
  <dimension ref="A1:K8"/>
  <sheetViews>
    <sheetView zoomScale="75" zoomScaleNormal="75" zoomScalePageLayoutView="0" workbookViewId="0" topLeftCell="A1">
      <pane xSplit="2" ySplit="7" topLeftCell="D8" activePane="bottomRight" state="frozen"/>
      <selection pane="topLeft" activeCell="C9" sqref="C9"/>
      <selection pane="topRight" activeCell="C9" sqref="C9"/>
      <selection pane="bottomLeft" activeCell="C9" sqref="C9"/>
      <selection pane="bottomRight" activeCell="B8" sqref="B8:K8"/>
    </sheetView>
  </sheetViews>
  <sheetFormatPr defaultColWidth="9.140625" defaultRowHeight="12.75"/>
  <cols>
    <col min="1" max="1" width="45.7109375" style="0" customWidth="1"/>
    <col min="2" max="2" width="22.00390625" style="0" customWidth="1"/>
    <col min="3" max="3" width="14.7109375" style="0" customWidth="1"/>
    <col min="4" max="4" width="15.421875" style="0" customWidth="1"/>
    <col min="5" max="5" width="14.28125" style="0" customWidth="1"/>
    <col min="6" max="7" width="13.57421875" style="0" customWidth="1"/>
    <col min="8" max="8" width="14.7109375" style="0" customWidth="1"/>
    <col min="9" max="9" width="15.28125" style="0" customWidth="1"/>
    <col min="10" max="10" width="17.7109375" style="0" customWidth="1"/>
    <col min="11" max="11" width="16.7109375" style="0" customWidth="1"/>
  </cols>
  <sheetData>
    <row r="1" spans="1:11" s="9" customFormat="1" ht="12.75" customHeight="1">
      <c r="A1" s="983" t="s">
        <v>21</v>
      </c>
      <c r="B1" s="985"/>
      <c r="C1" s="985"/>
      <c r="D1" s="985"/>
      <c r="E1" s="985"/>
      <c r="F1" s="985"/>
      <c r="G1" s="985"/>
      <c r="H1" s="985"/>
      <c r="I1" s="985"/>
      <c r="J1" s="985"/>
      <c r="K1" s="986" t="s">
        <v>22</v>
      </c>
    </row>
    <row r="2" spans="1:11" s="9" customFormat="1" ht="12.75" customHeight="1">
      <c r="A2" s="983" t="s">
        <v>24</v>
      </c>
      <c r="B2" s="1036" t="s">
        <v>217</v>
      </c>
      <c r="C2" s="1036" t="s">
        <v>217</v>
      </c>
      <c r="D2" s="1036" t="s">
        <v>217</v>
      </c>
      <c r="E2" s="1036" t="s">
        <v>217</v>
      </c>
      <c r="F2" s="1036" t="s">
        <v>217</v>
      </c>
      <c r="G2" s="1036" t="s">
        <v>217</v>
      </c>
      <c r="H2" s="1036" t="s">
        <v>217</v>
      </c>
      <c r="I2" s="1036" t="s">
        <v>217</v>
      </c>
      <c r="J2" s="1036" t="s">
        <v>217</v>
      </c>
      <c r="K2" s="1036" t="s">
        <v>217</v>
      </c>
    </row>
    <row r="3" spans="1:11" s="991" customFormat="1" ht="12.75" customHeight="1" thickBot="1">
      <c r="A3" s="983" t="s">
        <v>26</v>
      </c>
      <c r="B3" s="1114" t="s">
        <v>27</v>
      </c>
      <c r="C3" s="1114" t="s">
        <v>218</v>
      </c>
      <c r="D3" s="1114" t="s">
        <v>219</v>
      </c>
      <c r="E3" s="990" t="s">
        <v>220</v>
      </c>
      <c r="F3" s="990" t="s">
        <v>221</v>
      </c>
      <c r="G3" s="990" t="s">
        <v>222</v>
      </c>
      <c r="H3" s="990" t="s">
        <v>223</v>
      </c>
      <c r="I3" s="990" t="s">
        <v>224</v>
      </c>
      <c r="J3" s="990" t="s">
        <v>37</v>
      </c>
      <c r="K3" s="990" t="s">
        <v>36</v>
      </c>
    </row>
    <row r="4" spans="1:11" s="1000" customFormat="1" ht="60.75" thickBot="1">
      <c r="A4" s="992" t="s">
        <v>80</v>
      </c>
      <c r="B4" s="1110" t="s">
        <v>99</v>
      </c>
      <c r="C4" s="1117" t="s">
        <v>1466</v>
      </c>
      <c r="D4" s="1118"/>
      <c r="E4" s="1113" t="s">
        <v>225</v>
      </c>
      <c r="F4" s="1060"/>
      <c r="G4" s="999"/>
      <c r="H4" s="999"/>
      <c r="I4" s="999"/>
      <c r="J4" s="994"/>
      <c r="K4" s="996"/>
    </row>
    <row r="5" spans="1:11" s="9" customFormat="1" ht="24.75" thickBot="1">
      <c r="A5" s="992" t="s">
        <v>108</v>
      </c>
      <c r="B5" s="1107"/>
      <c r="C5" s="1115"/>
      <c r="D5" s="1116"/>
      <c r="E5" s="999" t="s">
        <v>226</v>
      </c>
      <c r="F5" s="1003"/>
      <c r="G5" s="999"/>
      <c r="H5" s="999"/>
      <c r="I5" s="999"/>
      <c r="J5" s="994"/>
      <c r="K5" s="996" t="s">
        <v>112</v>
      </c>
    </row>
    <row r="6" spans="1:11" ht="54" customHeight="1" thickBot="1">
      <c r="A6" s="1007" t="s">
        <v>117</v>
      </c>
      <c r="B6" s="1008" t="s">
        <v>118</v>
      </c>
      <c r="C6" s="1010" t="s">
        <v>227</v>
      </c>
      <c r="D6" s="1010" t="s">
        <v>228</v>
      </c>
      <c r="E6" s="1010" t="s">
        <v>229</v>
      </c>
      <c r="F6" s="1008" t="s">
        <v>230</v>
      </c>
      <c r="G6" s="1010" t="s">
        <v>1889</v>
      </c>
      <c r="H6" s="1008" t="s">
        <v>1890</v>
      </c>
      <c r="I6" s="1010" t="s">
        <v>231</v>
      </c>
      <c r="J6" s="1008" t="s">
        <v>128</v>
      </c>
      <c r="K6" s="1009" t="s">
        <v>127</v>
      </c>
    </row>
    <row r="7" spans="1:11" s="991" customFormat="1" ht="26.25" thickBot="1">
      <c r="A7" s="1012" t="s">
        <v>272</v>
      </c>
      <c r="B7" s="1254" t="s">
        <v>27</v>
      </c>
      <c r="C7" s="1173" t="s">
        <v>218</v>
      </c>
      <c r="D7" s="1173" t="s">
        <v>219</v>
      </c>
      <c r="E7" s="1173" t="s">
        <v>220</v>
      </c>
      <c r="F7" s="1173" t="s">
        <v>221</v>
      </c>
      <c r="G7" s="1173" t="s">
        <v>222</v>
      </c>
      <c r="H7" s="1173" t="s">
        <v>223</v>
      </c>
      <c r="I7" s="1173" t="s">
        <v>224</v>
      </c>
      <c r="J7" s="1173" t="s">
        <v>37</v>
      </c>
      <c r="K7" s="1284" t="s">
        <v>36</v>
      </c>
    </row>
    <row r="8" spans="1:11" ht="12.75">
      <c r="A8" s="1013"/>
      <c r="B8" s="1280">
        <f>'Design Data'!C10</f>
        <v>0</v>
      </c>
      <c r="C8" s="1285" t="s">
        <v>278</v>
      </c>
      <c r="D8" s="1261">
        <v>1</v>
      </c>
      <c r="E8" s="1261">
        <f>'Design Data'!H12</f>
        <v>0</v>
      </c>
      <c r="F8" s="1261">
        <f>ROUND('Chart Data'!T15,2)</f>
        <v>0</v>
      </c>
      <c r="G8" s="1286">
        <f>'Design Data'!H14</f>
        <v>0</v>
      </c>
      <c r="H8" s="1287">
        <f>'Design Data'!H86</f>
        <v>0</v>
      </c>
      <c r="I8" s="1286">
        <f>'Design Data'!H16</f>
        <v>0</v>
      </c>
      <c r="J8" s="1261">
        <f>'Design Data'!S82</f>
        <v>0</v>
      </c>
      <c r="K8" s="1283"/>
    </row>
  </sheetData>
  <sheetProtection/>
  <printOptions/>
  <pageMargins left="0.4" right="0.26" top="1" bottom="1" header="0.5" footer="0.5"/>
  <pageSetup fitToHeight="1" fitToWidth="1" horizontalDpi="600" verticalDpi="600" orientation="landscape" paperSize="17" scale="66" r:id="rId3"/>
  <headerFooter alignWithMargins="0">
    <oddHeader>&amp;C&amp;F</oddHeader>
    <oddFooter>&amp;L&amp;A&amp;CPage &amp;P of &amp;N</oddFooter>
  </headerFooter>
  <legacyDrawing r:id="rId2"/>
</worksheet>
</file>

<file path=xl/worksheets/sheet18.xml><?xml version="1.0" encoding="utf-8"?>
<worksheet xmlns="http://schemas.openxmlformats.org/spreadsheetml/2006/main" xmlns:r="http://schemas.openxmlformats.org/officeDocument/2006/relationships">
  <sheetPr codeName="Sheet19">
    <tabColor indexed="45"/>
    <pageSetUpPr fitToPage="1"/>
  </sheetPr>
  <dimension ref="A1:G8"/>
  <sheetViews>
    <sheetView zoomScale="75" zoomScaleNormal="75" zoomScalePageLayoutView="0" workbookViewId="0" topLeftCell="A1">
      <pane xSplit="2" ySplit="7" topLeftCell="C8" activePane="bottomRight" state="frozen"/>
      <selection pane="topLeft" activeCell="C9" sqref="C9"/>
      <selection pane="topRight" activeCell="C9" sqref="C9"/>
      <selection pane="bottomLeft" activeCell="C9" sqref="C9"/>
      <selection pane="bottomRight" activeCell="B8" sqref="B8:G8"/>
    </sheetView>
  </sheetViews>
  <sheetFormatPr defaultColWidth="9.140625" defaultRowHeight="12.75"/>
  <cols>
    <col min="1" max="1" width="45.7109375" style="0" customWidth="1"/>
    <col min="2" max="2" width="20.140625" style="0" customWidth="1"/>
    <col min="3" max="3" width="14.7109375" style="0" customWidth="1"/>
    <col min="4" max="4" width="15.421875" style="0" customWidth="1"/>
    <col min="5" max="5" width="57.00390625" style="0" customWidth="1"/>
    <col min="6" max="6" width="17.7109375" style="0" customWidth="1"/>
    <col min="7" max="7" width="16.7109375" style="0" customWidth="1"/>
    <col min="8" max="8" width="6.7109375" style="0" customWidth="1"/>
    <col min="9" max="9" width="8.28125" style="0" customWidth="1"/>
  </cols>
  <sheetData>
    <row r="1" spans="1:7" s="9" customFormat="1" ht="12.75" customHeight="1">
      <c r="A1" s="983" t="s">
        <v>21</v>
      </c>
      <c r="B1" s="1029"/>
      <c r="C1" s="1029"/>
      <c r="D1" s="1029"/>
      <c r="E1" s="1014"/>
      <c r="F1" s="1029"/>
      <c r="G1" s="1015" t="s">
        <v>22</v>
      </c>
    </row>
    <row r="2" spans="1:7" s="9" customFormat="1" ht="12.75" customHeight="1">
      <c r="A2" s="983" t="s">
        <v>24</v>
      </c>
      <c r="B2" s="1037" t="s">
        <v>232</v>
      </c>
      <c r="C2" s="1037" t="s">
        <v>232</v>
      </c>
      <c r="D2" s="1037" t="s">
        <v>232</v>
      </c>
      <c r="E2" s="1037" t="s">
        <v>232</v>
      </c>
      <c r="F2" s="1037" t="s">
        <v>232</v>
      </c>
      <c r="G2" s="1037" t="s">
        <v>232</v>
      </c>
    </row>
    <row r="3" spans="1:7" s="991" customFormat="1" ht="12.75" customHeight="1" thickBot="1">
      <c r="A3" s="983" t="s">
        <v>26</v>
      </c>
      <c r="B3" s="787" t="s">
        <v>27</v>
      </c>
      <c r="C3" s="787" t="s">
        <v>218</v>
      </c>
      <c r="D3" s="787" t="s">
        <v>219</v>
      </c>
      <c r="E3" s="787" t="s">
        <v>233</v>
      </c>
      <c r="F3" s="787" t="s">
        <v>37</v>
      </c>
      <c r="G3" s="787" t="s">
        <v>36</v>
      </c>
    </row>
    <row r="4" spans="1:7" s="1000" customFormat="1" ht="281.25" thickBot="1">
      <c r="A4" s="992" t="s">
        <v>80</v>
      </c>
      <c r="B4" s="1110" t="s">
        <v>234</v>
      </c>
      <c r="C4" s="1117" t="s">
        <v>1466</v>
      </c>
      <c r="D4" s="1119"/>
      <c r="E4" s="1135" t="s">
        <v>1115</v>
      </c>
      <c r="F4" s="1038"/>
      <c r="G4" s="1039"/>
    </row>
    <row r="5" spans="1:7" s="9" customFormat="1" ht="36.75" thickBot="1">
      <c r="A5" s="992" t="s">
        <v>108</v>
      </c>
      <c r="B5" s="1001" t="s">
        <v>276</v>
      </c>
      <c r="C5" s="1035"/>
      <c r="D5" s="1040"/>
      <c r="E5" s="997" t="s">
        <v>19</v>
      </c>
      <c r="F5" s="1035"/>
      <c r="G5" s="1041" t="s">
        <v>112</v>
      </c>
    </row>
    <row r="6" spans="1:7" ht="54" customHeight="1" thickBot="1">
      <c r="A6" s="1007" t="s">
        <v>117</v>
      </c>
      <c r="B6" s="1042" t="s">
        <v>235</v>
      </c>
      <c r="C6" s="1008" t="s">
        <v>227</v>
      </c>
      <c r="D6" s="1008" t="s">
        <v>228</v>
      </c>
      <c r="E6" s="1010" t="s">
        <v>236</v>
      </c>
      <c r="F6" s="1008" t="s">
        <v>128</v>
      </c>
      <c r="G6" s="1011" t="s">
        <v>127</v>
      </c>
    </row>
    <row r="7" spans="1:7" s="991" customFormat="1" ht="26.25" thickBot="1">
      <c r="A7" s="1012" t="s">
        <v>272</v>
      </c>
      <c r="B7" s="1250" t="s">
        <v>27</v>
      </c>
      <c r="C7" s="1176" t="s">
        <v>218</v>
      </c>
      <c r="D7" s="1176" t="s">
        <v>219</v>
      </c>
      <c r="E7" s="1176" t="s">
        <v>233</v>
      </c>
      <c r="F7" s="1176" t="s">
        <v>37</v>
      </c>
      <c r="G7" s="1251" t="s">
        <v>36</v>
      </c>
    </row>
    <row r="8" spans="1:7" ht="12.75">
      <c r="A8" s="1043"/>
      <c r="B8" s="1280">
        <f>'Design Data'!C10</f>
        <v>0</v>
      </c>
      <c r="C8" s="1285" t="s">
        <v>278</v>
      </c>
      <c r="D8" s="1261">
        <v>1</v>
      </c>
      <c r="E8" s="1261">
        <f>'Design Data'!K16</f>
        <v>0</v>
      </c>
      <c r="F8" s="1282">
        <f>'Design Data'!S82</f>
        <v>0</v>
      </c>
      <c r="G8" s="1283"/>
    </row>
  </sheetData>
  <sheetProtection/>
  <printOptions/>
  <pageMargins left="0.4" right="0.26" top="1" bottom="1" header="0.5" footer="0.5"/>
  <pageSetup fitToHeight="1" fitToWidth="1" horizontalDpi="600" verticalDpi="600" orientation="landscape" paperSize="17" scale="71" r:id="rId3"/>
  <headerFooter alignWithMargins="0">
    <oddHeader>&amp;C&amp;F</oddHeader>
    <oddFooter>&amp;L&amp;A&amp;CPage &amp;P of &amp;N</oddFooter>
  </headerFooter>
  <legacyDrawing r:id="rId2"/>
</worksheet>
</file>

<file path=xl/worksheets/sheet19.xml><?xml version="1.0" encoding="utf-8"?>
<worksheet xmlns="http://schemas.openxmlformats.org/spreadsheetml/2006/main" xmlns:r="http://schemas.openxmlformats.org/officeDocument/2006/relationships">
  <sheetPr codeName="Sheet20">
    <tabColor indexed="45"/>
    <pageSetUpPr fitToPage="1"/>
  </sheetPr>
  <dimension ref="A1:H8"/>
  <sheetViews>
    <sheetView zoomScale="75" zoomScaleNormal="75" zoomScalePageLayoutView="0" workbookViewId="0" topLeftCell="A1">
      <pane xSplit="2" ySplit="7" topLeftCell="E8" activePane="bottomRight" state="frozen"/>
      <selection pane="topLeft" activeCell="C9" sqref="C9"/>
      <selection pane="topRight" activeCell="C9" sqref="C9"/>
      <selection pane="bottomLeft" activeCell="C9" sqref="C9"/>
      <selection pane="bottomRight" activeCell="B8" sqref="B8:H8"/>
    </sheetView>
  </sheetViews>
  <sheetFormatPr defaultColWidth="9.140625" defaultRowHeight="12.75"/>
  <cols>
    <col min="1" max="1" width="45.7109375" style="0" customWidth="1"/>
    <col min="2" max="2" width="21.7109375" style="0" customWidth="1"/>
    <col min="3" max="3" width="16.421875" style="0" customWidth="1"/>
    <col min="4" max="4" width="15.421875" style="0" customWidth="1"/>
    <col min="5" max="6" width="42.421875" style="0" customWidth="1"/>
    <col min="7" max="7" width="16.7109375" style="0" customWidth="1"/>
    <col min="8" max="8" width="17.7109375" style="0" customWidth="1"/>
  </cols>
  <sheetData>
    <row r="1" spans="1:8" s="9" customFormat="1" ht="12.75" customHeight="1">
      <c r="A1" s="983" t="s">
        <v>21</v>
      </c>
      <c r="B1" s="1014"/>
      <c r="C1" s="1014"/>
      <c r="D1" s="1014"/>
      <c r="E1" s="1015" t="s">
        <v>23</v>
      </c>
      <c r="F1" s="1015" t="s">
        <v>23</v>
      </c>
      <c r="G1" s="1015" t="s">
        <v>22</v>
      </c>
      <c r="H1" s="1014"/>
    </row>
    <row r="2" spans="1:8" s="9" customFormat="1" ht="12.75" customHeight="1">
      <c r="A2" s="983" t="s">
        <v>24</v>
      </c>
      <c r="B2" s="1044" t="s">
        <v>237</v>
      </c>
      <c r="C2" s="1044" t="s">
        <v>237</v>
      </c>
      <c r="D2" s="1044" t="s">
        <v>237</v>
      </c>
      <c r="E2" s="1044" t="s">
        <v>237</v>
      </c>
      <c r="F2" s="1044" t="s">
        <v>237</v>
      </c>
      <c r="G2" s="1044" t="s">
        <v>237</v>
      </c>
      <c r="H2" s="1044" t="s">
        <v>237</v>
      </c>
    </row>
    <row r="3" spans="1:8" s="991" customFormat="1" ht="12.75" customHeight="1" thickBot="1">
      <c r="A3" s="983" t="s">
        <v>26</v>
      </c>
      <c r="B3" s="1019" t="s">
        <v>27</v>
      </c>
      <c r="C3" s="1019" t="s">
        <v>218</v>
      </c>
      <c r="D3" s="1019" t="s">
        <v>219</v>
      </c>
      <c r="E3" s="1019" t="s">
        <v>44</v>
      </c>
      <c r="F3" s="1019" t="s">
        <v>238</v>
      </c>
      <c r="G3" s="787" t="s">
        <v>36</v>
      </c>
      <c r="H3" s="787" t="s">
        <v>37</v>
      </c>
    </row>
    <row r="4" spans="1:8" s="1000" customFormat="1" ht="72.75" thickBot="1">
      <c r="A4" s="992" t="s">
        <v>80</v>
      </c>
      <c r="B4" s="1110" t="s">
        <v>99</v>
      </c>
      <c r="C4" s="1119"/>
      <c r="D4" s="1122"/>
      <c r="E4" s="1120"/>
      <c r="F4" s="1045"/>
      <c r="G4" s="1046"/>
      <c r="H4" s="1047"/>
    </row>
    <row r="5" spans="1:8" s="9" customFormat="1" ht="39" thickBot="1">
      <c r="A5" s="992" t="s">
        <v>108</v>
      </c>
      <c r="B5" s="1107" t="s">
        <v>276</v>
      </c>
      <c r="C5" s="1121"/>
      <c r="D5" s="1121"/>
      <c r="E5" s="1048" t="s">
        <v>270</v>
      </c>
      <c r="F5" s="1049" t="s">
        <v>277</v>
      </c>
      <c r="G5" s="1041" t="s">
        <v>112</v>
      </c>
      <c r="H5" s="1040"/>
    </row>
    <row r="6" spans="1:8" ht="39" customHeight="1" thickBot="1">
      <c r="A6" s="1007" t="s">
        <v>117</v>
      </c>
      <c r="B6" s="1010" t="s">
        <v>1286</v>
      </c>
      <c r="C6" s="1008" t="s">
        <v>227</v>
      </c>
      <c r="D6" s="1008" t="s">
        <v>228</v>
      </c>
      <c r="E6" s="1009" t="s">
        <v>135</v>
      </c>
      <c r="F6" s="1009" t="s">
        <v>239</v>
      </c>
      <c r="G6" s="1011" t="s">
        <v>127</v>
      </c>
      <c r="H6" s="1008" t="s">
        <v>128</v>
      </c>
    </row>
    <row r="7" spans="1:8" s="991" customFormat="1" ht="26.25" thickBot="1">
      <c r="A7" s="1012" t="s">
        <v>272</v>
      </c>
      <c r="B7" s="1250" t="s">
        <v>27</v>
      </c>
      <c r="C7" s="1176" t="s">
        <v>218</v>
      </c>
      <c r="D7" s="1176" t="s">
        <v>219</v>
      </c>
      <c r="E7" s="1176" t="s">
        <v>44</v>
      </c>
      <c r="F7" s="1176" t="s">
        <v>238</v>
      </c>
      <c r="G7" s="1176" t="s">
        <v>36</v>
      </c>
      <c r="H7" s="1251" t="s">
        <v>37</v>
      </c>
    </row>
    <row r="8" spans="1:8" ht="12.75">
      <c r="A8" s="1013"/>
      <c r="B8" s="1280">
        <f>'Design Data'!C10</f>
        <v>0</v>
      </c>
      <c r="C8" s="1285" t="s">
        <v>278</v>
      </c>
      <c r="D8" s="1261">
        <v>1</v>
      </c>
      <c r="E8" s="1263" t="s">
        <v>905</v>
      </c>
      <c r="F8" s="1263">
        <v>0</v>
      </c>
      <c r="G8" s="1264"/>
      <c r="H8" s="1288">
        <f>'Design Data'!S82</f>
        <v>0</v>
      </c>
    </row>
  </sheetData>
  <sheetProtection/>
  <printOptions/>
  <pageMargins left="0.4" right="0.26" top="1" bottom="1" header="0.5" footer="0.5"/>
  <pageSetup fitToHeight="1" fitToWidth="1" horizontalDpi="600" verticalDpi="600" orientation="landscape" paperSize="17" scale="61" r:id="rId3"/>
  <headerFooter alignWithMargins="0">
    <oddHeader>&amp;C&amp;F</oddHeader>
    <oddFooter>&amp;L&amp;A&amp;CPage &amp;P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AF120"/>
  <sheetViews>
    <sheetView showGridLines="0" zoomScale="85" zoomScaleNormal="85" zoomScalePageLayoutView="0" workbookViewId="0" topLeftCell="A1">
      <selection activeCell="A1" sqref="A1"/>
    </sheetView>
  </sheetViews>
  <sheetFormatPr defaultColWidth="9.140625" defaultRowHeight="12.75"/>
  <cols>
    <col min="1" max="1" width="7.28125" style="3" customWidth="1"/>
    <col min="2" max="2" width="8.140625" style="3" customWidth="1"/>
    <col min="3" max="7" width="7.28125" style="3" customWidth="1"/>
    <col min="8" max="8" width="8.00390625" style="3" customWidth="1"/>
    <col min="9" max="10" width="7.28125" style="3" customWidth="1"/>
    <col min="11" max="11" width="8.421875" style="3" customWidth="1"/>
    <col min="12" max="12" width="8.28125" style="3" customWidth="1"/>
    <col min="13" max="16" width="7.28125" style="3" customWidth="1"/>
    <col min="17" max="17" width="13.28125" style="3" customWidth="1"/>
    <col min="18" max="20" width="7.7109375" style="3" customWidth="1"/>
    <col min="21" max="21" width="8.00390625" style="3" customWidth="1"/>
    <col min="22" max="22" width="9.140625" style="3" customWidth="1"/>
    <col min="23" max="24" width="7.7109375" style="3" customWidth="1"/>
    <col min="25" max="25" width="5.28125" style="3" customWidth="1"/>
    <col min="26" max="26" width="9.140625" style="3" customWidth="1"/>
    <col min="27" max="27" width="16.57421875" style="3" customWidth="1"/>
    <col min="28" max="28" width="16.00390625" style="3" customWidth="1"/>
    <col min="29" max="29" width="19.00390625" style="3" customWidth="1"/>
    <col min="30" max="30" width="14.7109375" style="3" customWidth="1"/>
    <col min="31" max="31" width="14.8515625" style="3" customWidth="1"/>
    <col min="32" max="16384" width="9.140625" style="3" customWidth="1"/>
  </cols>
  <sheetData>
    <row r="1" spans="1:32" ht="18" customHeight="1" thickBot="1">
      <c r="A1"/>
      <c r="B1"/>
      <c r="C1"/>
      <c r="D1"/>
      <c r="E1"/>
      <c r="F1"/>
      <c r="G1"/>
      <c r="H1"/>
      <c r="I1"/>
      <c r="J1"/>
      <c r="K1"/>
      <c r="L1"/>
      <c r="M1"/>
      <c r="N1"/>
      <c r="O1"/>
      <c r="P1"/>
      <c r="Q1"/>
      <c r="R1"/>
      <c r="S1"/>
      <c r="T1"/>
      <c r="U1"/>
      <c r="V1" s="17"/>
      <c r="W1"/>
      <c r="X1"/>
      <c r="Y1"/>
      <c r="Z1"/>
      <c r="AA1" s="1209" t="s">
        <v>999</v>
      </c>
      <c r="AB1" s="1209"/>
      <c r="AC1" s="1209" t="s">
        <v>1000</v>
      </c>
      <c r="AD1" s="1210"/>
      <c r="AE1" s="331" t="s">
        <v>905</v>
      </c>
      <c r="AF1" s="332"/>
    </row>
    <row r="2" spans="1:32" ht="21.75" customHeight="1" thickBot="1" thickTop="1">
      <c r="A2" s="486" t="s">
        <v>1081</v>
      </c>
      <c r="B2" s="487"/>
      <c r="C2" s="488"/>
      <c r="D2" s="489"/>
      <c r="E2" s="490"/>
      <c r="F2" s="487"/>
      <c r="G2" s="487"/>
      <c r="H2" s="487"/>
      <c r="I2" s="488"/>
      <c r="J2" s="491"/>
      <c r="L2" s="726" t="s">
        <v>1082</v>
      </c>
      <c r="M2" s="712"/>
      <c r="N2" s="713"/>
      <c r="O2" s="714"/>
      <c r="P2" s="712"/>
      <c r="Q2" s="248"/>
      <c r="R2" s="683"/>
      <c r="S2" s="684"/>
      <c r="T2" s="288"/>
      <c r="U2" s="288"/>
      <c r="W2"/>
      <c r="X2"/>
      <c r="Y2"/>
      <c r="Z2"/>
      <c r="AA2" s="1213" t="s">
        <v>1006</v>
      </c>
      <c r="AB2" s="1213" t="s">
        <v>1007</v>
      </c>
      <c r="AC2" s="1213" t="s">
        <v>1006</v>
      </c>
      <c r="AD2" s="1213" t="s">
        <v>1007</v>
      </c>
      <c r="AE2" s="333"/>
      <c r="AF2" s="332"/>
    </row>
    <row r="3" spans="1:32" ht="19.5" customHeight="1" thickBot="1" thickTop="1">
      <c r="A3" s="492" t="s">
        <v>1008</v>
      </c>
      <c r="B3" s="493"/>
      <c r="C3" s="494"/>
      <c r="D3" s="495"/>
      <c r="E3" s="496"/>
      <c r="F3" s="493"/>
      <c r="G3" s="493"/>
      <c r="H3" s="493"/>
      <c r="I3" s="497"/>
      <c r="J3" s="498"/>
      <c r="L3" s="715" t="s">
        <v>1083</v>
      </c>
      <c r="M3" s="1601">
        <f>IF('Design Data'!H10="","",'Design Data'!H10)</f>
      </c>
      <c r="N3" s="1602"/>
      <c r="O3" s="715" t="s">
        <v>1010</v>
      </c>
      <c r="P3" s="1601">
        <f>IF('Design Data'!K10="","",'Design Data'!K10)</f>
      </c>
      <c r="Q3" s="1602"/>
      <c r="R3" s="683"/>
      <c r="S3" s="683"/>
      <c r="T3" s="288"/>
      <c r="U3" s="288"/>
      <c r="W3"/>
      <c r="X3"/>
      <c r="Y3"/>
      <c r="Z3"/>
      <c r="AA3" s="1214" t="s">
        <v>1011</v>
      </c>
      <c r="AB3" s="1214" t="s">
        <v>1012</v>
      </c>
      <c r="AC3" s="1214" t="s">
        <v>1084</v>
      </c>
      <c r="AD3" s="1214" t="s">
        <v>1084</v>
      </c>
      <c r="AE3" s="334"/>
      <c r="AF3" s="332"/>
    </row>
    <row r="4" spans="1:32" ht="19.5" customHeight="1" thickBot="1" thickTop="1">
      <c r="A4" s="499" t="s">
        <v>2223</v>
      </c>
      <c r="B4" s="500"/>
      <c r="C4" s="501"/>
      <c r="D4" s="502"/>
      <c r="E4" s="503"/>
      <c r="F4" s="504"/>
      <c r="G4" s="504"/>
      <c r="H4" s="505"/>
      <c r="I4" s="506"/>
      <c r="J4" s="507"/>
      <c r="L4" s="708" t="s">
        <v>1085</v>
      </c>
      <c r="M4" s="709"/>
      <c r="N4" s="1599">
        <f>IF(M5="","",'Chart Data'!W14)</f>
      </c>
      <c r="O4" s="1599"/>
      <c r="P4" s="1599"/>
      <c r="Q4" s="1600"/>
      <c r="R4" s="287"/>
      <c r="S4" s="288"/>
      <c r="T4" s="288"/>
      <c r="U4" s="288"/>
      <c r="W4"/>
      <c r="X4"/>
      <c r="Y4"/>
      <c r="Z4"/>
      <c r="AA4" s="1214" t="s">
        <v>1011</v>
      </c>
      <c r="AB4" s="1214" t="s">
        <v>1011</v>
      </c>
      <c r="AC4" s="1213" t="s">
        <v>1013</v>
      </c>
      <c r="AD4" s="1213" t="s">
        <v>1013</v>
      </c>
      <c r="AE4" s="333"/>
      <c r="AF4" s="332"/>
    </row>
    <row r="5" spans="1:32" ht="19.5" customHeight="1" thickBot="1" thickTop="1">
      <c r="A5" s="508"/>
      <c r="B5" s="509"/>
      <c r="C5" s="510"/>
      <c r="D5" s="511" t="s">
        <v>1017</v>
      </c>
      <c r="E5" s="487"/>
      <c r="F5" s="512">
        <v>300000</v>
      </c>
      <c r="G5" s="513"/>
      <c r="H5" s="514"/>
      <c r="I5" s="509"/>
      <c r="J5" s="515"/>
      <c r="L5" s="716" t="s">
        <v>2236</v>
      </c>
      <c r="M5" s="783">
        <f>IF('Design Data'!C8="","",'Design Data'!C8)</f>
      </c>
      <c r="N5" s="728" t="s">
        <v>1086</v>
      </c>
      <c r="O5" s="528"/>
      <c r="P5" s="728">
        <f>IF(M5="","",'Design Data'!C18)</f>
      </c>
      <c r="Q5" s="727"/>
      <c r="R5" s="287"/>
      <c r="S5" s="288"/>
      <c r="T5" s="288"/>
      <c r="U5" s="288"/>
      <c r="W5"/>
      <c r="X5"/>
      <c r="Y5"/>
      <c r="Z5"/>
      <c r="AA5" s="1214" t="s">
        <v>1020</v>
      </c>
      <c r="AB5" s="1214" t="s">
        <v>1021</v>
      </c>
      <c r="AC5" s="1213" t="s">
        <v>1022</v>
      </c>
      <c r="AD5" s="1213" t="s">
        <v>1013</v>
      </c>
      <c r="AE5" s="333"/>
      <c r="AF5" s="332"/>
    </row>
    <row r="6" spans="1:32" ht="19.5" customHeight="1" thickBot="1" thickTop="1">
      <c r="A6" s="516" t="s">
        <v>1023</v>
      </c>
      <c r="B6" s="517" t="s">
        <v>1024</v>
      </c>
      <c r="C6" s="516" t="s">
        <v>1023</v>
      </c>
      <c r="D6" s="517" t="s">
        <v>1024</v>
      </c>
      <c r="E6" s="516" t="s">
        <v>1023</v>
      </c>
      <c r="F6" s="517" t="s">
        <v>1024</v>
      </c>
      <c r="G6" s="516" t="s">
        <v>1023</v>
      </c>
      <c r="H6" s="517" t="s">
        <v>1024</v>
      </c>
      <c r="I6" s="516" t="s">
        <v>1023</v>
      </c>
      <c r="J6" s="517" t="s">
        <v>1024</v>
      </c>
      <c r="K6"/>
      <c r="L6" s="708" t="s">
        <v>1087</v>
      </c>
      <c r="M6" s="717"/>
      <c r="N6" s="718" t="str">
        <f>IF('Design Data'!C14="","",'Design Data'!C14)</f>
        <v>Enter Project(s) &amp; Line Item(s)</v>
      </c>
      <c r="O6" s="719"/>
      <c r="P6" s="720"/>
      <c r="Q6" s="721"/>
      <c r="R6" s="287"/>
      <c r="S6" s="288"/>
      <c r="T6" s="288"/>
      <c r="U6" s="687"/>
      <c r="W6"/>
      <c r="X6"/>
      <c r="Y6"/>
      <c r="Z6"/>
      <c r="AA6" s="1214" t="s">
        <v>1027</v>
      </c>
      <c r="AB6" s="1214" t="s">
        <v>1027</v>
      </c>
      <c r="AC6" s="1213" t="s">
        <v>1022</v>
      </c>
      <c r="AD6" s="1213" t="s">
        <v>1022</v>
      </c>
      <c r="AE6" s="333"/>
      <c r="AF6" s="332"/>
    </row>
    <row r="7" spans="1:32" ht="19.5" customHeight="1" thickBot="1" thickTop="1">
      <c r="A7" s="779"/>
      <c r="B7" s="782"/>
      <c r="C7" s="779"/>
      <c r="D7" s="782"/>
      <c r="E7" s="779"/>
      <c r="F7" s="782"/>
      <c r="G7" s="779"/>
      <c r="H7" s="782"/>
      <c r="I7" s="779"/>
      <c r="J7" s="782"/>
      <c r="K7"/>
      <c r="L7" s="722"/>
      <c r="M7" s="723"/>
      <c r="N7" s="710" t="str">
        <f>IF('Design Data'!C15="","",'Design Data'!C15)</f>
        <v>On 'Project Items' Tab.</v>
      </c>
      <c r="O7" s="724"/>
      <c r="P7" s="711"/>
      <c r="Q7" s="725"/>
      <c r="R7" s="287"/>
      <c r="S7" s="288"/>
      <c r="T7" s="288"/>
      <c r="U7" s="687"/>
      <c r="W7"/>
      <c r="X7"/>
      <c r="Y7"/>
      <c r="Z7"/>
      <c r="AA7" s="485"/>
      <c r="AB7" s="485"/>
      <c r="AC7" s="485"/>
      <c r="AD7" s="485"/>
      <c r="AE7" s="333"/>
      <c r="AF7" s="332"/>
    </row>
    <row r="8" spans="1:32" ht="19.5" customHeight="1" thickBot="1" thickTop="1">
      <c r="A8" s="779"/>
      <c r="B8" s="780"/>
      <c r="C8" s="779"/>
      <c r="D8" s="780"/>
      <c r="E8" s="779"/>
      <c r="F8" s="780"/>
      <c r="G8" s="779"/>
      <c r="H8" s="780"/>
      <c r="I8" s="779"/>
      <c r="J8" s="780"/>
      <c r="K8"/>
      <c r="L8"/>
      <c r="M8"/>
      <c r="N8"/>
      <c r="O8" s="688"/>
      <c r="P8" s="689"/>
      <c r="Q8" s="690"/>
      <c r="R8" s="287"/>
      <c r="S8" s="288"/>
      <c r="T8" s="288"/>
      <c r="U8" s="687"/>
      <c r="W8"/>
      <c r="X8"/>
      <c r="Y8"/>
      <c r="Z8"/>
      <c r="AA8" s="335"/>
      <c r="AB8" s="335"/>
      <c r="AC8" s="335"/>
      <c r="AD8" s="335"/>
      <c r="AE8" s="333"/>
      <c r="AF8" s="332"/>
    </row>
    <row r="9" spans="1:32" ht="19.5" customHeight="1" thickBot="1" thickTop="1">
      <c r="A9" s="779"/>
      <c r="B9" s="780"/>
      <c r="C9" s="779"/>
      <c r="D9" s="780"/>
      <c r="E9" s="779"/>
      <c r="F9" s="780"/>
      <c r="G9" s="779"/>
      <c r="H9" s="780"/>
      <c r="I9" s="779"/>
      <c r="J9" s="780"/>
      <c r="K9"/>
      <c r="L9"/>
      <c r="M9"/>
      <c r="N9"/>
      <c r="O9"/>
      <c r="P9"/>
      <c r="Q9"/>
      <c r="R9" s="287"/>
      <c r="S9" s="288"/>
      <c r="T9" s="288"/>
      <c r="U9" s="288"/>
      <c r="AA9" s="485"/>
      <c r="AB9" s="485"/>
      <c r="AC9" s="485"/>
      <c r="AD9" s="485"/>
      <c r="AE9" s="333"/>
      <c r="AF9" s="332"/>
    </row>
    <row r="10" spans="1:32" ht="19.5" customHeight="1" thickBot="1" thickTop="1">
      <c r="A10" s="779"/>
      <c r="B10" s="780"/>
      <c r="C10" s="779"/>
      <c r="D10" s="780"/>
      <c r="E10" s="779"/>
      <c r="F10" s="780"/>
      <c r="G10" s="779"/>
      <c r="H10" s="780"/>
      <c r="I10" s="779"/>
      <c r="J10" s="780"/>
      <c r="K10"/>
      <c r="L10"/>
      <c r="M10"/>
      <c r="N10"/>
      <c r="O10"/>
      <c r="P10"/>
      <c r="Q10"/>
      <c r="R10" s="288"/>
      <c r="S10" s="287"/>
      <c r="T10" s="287"/>
      <c r="U10" s="287"/>
      <c r="AA10" s="332"/>
      <c r="AB10" s="332"/>
      <c r="AC10" s="332"/>
      <c r="AD10" s="332"/>
      <c r="AE10" s="332"/>
      <c r="AF10" s="332"/>
    </row>
    <row r="11" spans="1:32" ht="19.5" customHeight="1" thickBot="1" thickTop="1">
      <c r="A11" s="779"/>
      <c r="B11" s="780"/>
      <c r="C11" s="779"/>
      <c r="D11" s="780"/>
      <c r="E11" s="779"/>
      <c r="F11" s="780"/>
      <c r="G11" s="779"/>
      <c r="H11" s="780"/>
      <c r="I11" s="779"/>
      <c r="J11" s="780"/>
      <c r="K11"/>
      <c r="L11" s="142"/>
      <c r="M11" s="287"/>
      <c r="N11" s="287"/>
      <c r="O11" s="688"/>
      <c r="P11" s="686"/>
      <c r="Q11" s="692"/>
      <c r="R11" s="287"/>
      <c r="S11" s="142"/>
      <c r="T11" s="142"/>
      <c r="U11" s="693"/>
      <c r="W11"/>
      <c r="X11"/>
      <c r="Y11"/>
      <c r="AA11" s="485"/>
      <c r="AB11" s="485"/>
      <c r="AC11" s="485"/>
      <c r="AD11" s="485"/>
      <c r="AE11" s="335"/>
      <c r="AF11" s="332"/>
    </row>
    <row r="12" spans="1:32" ht="19.5" customHeight="1" thickBot="1" thickTop="1">
      <c r="A12" s="779"/>
      <c r="B12" s="780"/>
      <c r="C12" s="779"/>
      <c r="D12" s="780"/>
      <c r="E12" s="779"/>
      <c r="F12" s="780"/>
      <c r="G12" s="779"/>
      <c r="H12" s="780"/>
      <c r="I12" s="779"/>
      <c r="J12" s="780"/>
      <c r="K12"/>
      <c r="L12" s="142"/>
      <c r="M12" s="287"/>
      <c r="N12" s="287"/>
      <c r="O12" s="688"/>
      <c r="P12" s="686"/>
      <c r="Q12" s="692"/>
      <c r="R12" s="287"/>
      <c r="S12" s="291"/>
      <c r="T12" s="696"/>
      <c r="U12" s="693"/>
      <c r="W12"/>
      <c r="X12"/>
      <c r="Y12"/>
      <c r="AA12" s="332"/>
      <c r="AB12" s="332"/>
      <c r="AC12" s="332"/>
      <c r="AD12" s="332"/>
      <c r="AE12" s="332"/>
      <c r="AF12" s="332"/>
    </row>
    <row r="13" spans="1:32" ht="19.5" customHeight="1" thickBot="1" thickTop="1">
      <c r="A13" s="779"/>
      <c r="B13" s="780"/>
      <c r="C13" s="779"/>
      <c r="D13" s="780"/>
      <c r="E13" s="779"/>
      <c r="F13" s="780"/>
      <c r="G13" s="779"/>
      <c r="H13" s="780"/>
      <c r="I13" s="779"/>
      <c r="J13" s="780"/>
      <c r="K13"/>
      <c r="L13" s="142"/>
      <c r="M13" s="287"/>
      <c r="N13" s="287"/>
      <c r="O13" s="688"/>
      <c r="P13" s="694"/>
      <c r="Q13" s="695"/>
      <c r="R13" s="287"/>
      <c r="S13" s="291"/>
      <c r="T13" s="696"/>
      <c r="U13" s="693"/>
      <c r="W13"/>
      <c r="X13"/>
      <c r="Y13"/>
      <c r="AA13" s="332"/>
      <c r="AB13" s="332"/>
      <c r="AC13" s="332"/>
      <c r="AD13" s="332"/>
      <c r="AE13" s="332"/>
      <c r="AF13" s="332"/>
    </row>
    <row r="14" spans="1:32" ht="19.5" customHeight="1" thickBot="1" thickTop="1">
      <c r="A14" s="779"/>
      <c r="B14" s="780"/>
      <c r="C14" s="779"/>
      <c r="D14" s="780"/>
      <c r="E14" s="779"/>
      <c r="F14" s="780"/>
      <c r="G14" s="779"/>
      <c r="H14" s="780"/>
      <c r="I14" s="779"/>
      <c r="J14" s="780"/>
      <c r="K14"/>
      <c r="L14" s="142"/>
      <c r="M14" s="287"/>
      <c r="N14" s="287"/>
      <c r="O14" s="688"/>
      <c r="P14" s="287"/>
      <c r="Q14" s="695"/>
      <c r="R14" s="287"/>
      <c r="S14" s="291"/>
      <c r="T14" s="696"/>
      <c r="U14" s="693"/>
      <c r="W14"/>
      <c r="X14"/>
      <c r="Y14"/>
      <c r="AA14" s="332"/>
      <c r="AB14" s="332"/>
      <c r="AC14" s="332"/>
      <c r="AD14" s="332"/>
      <c r="AE14" s="332"/>
      <c r="AF14" s="332"/>
    </row>
    <row r="15" spans="1:32" ht="19.5" customHeight="1" thickBot="1" thickTop="1">
      <c r="A15" s="779"/>
      <c r="B15" s="780"/>
      <c r="C15" s="779"/>
      <c r="D15" s="780"/>
      <c r="E15" s="779"/>
      <c r="F15" s="780"/>
      <c r="G15" s="779"/>
      <c r="H15" s="780"/>
      <c r="I15" s="779"/>
      <c r="J15" s="780"/>
      <c r="K15"/>
      <c r="L15" s="142"/>
      <c r="M15" s="287"/>
      <c r="N15" s="287"/>
      <c r="O15" s="688"/>
      <c r="P15" s="694"/>
      <c r="Q15" s="695"/>
      <c r="R15" s="287"/>
      <c r="S15" s="291"/>
      <c r="T15" s="696"/>
      <c r="U15" s="693"/>
      <c r="W15"/>
      <c r="X15"/>
      <c r="Y15"/>
      <c r="AA15" s="332"/>
      <c r="AB15" s="332"/>
      <c r="AC15" s="332"/>
      <c r="AD15" s="332"/>
      <c r="AE15" s="332"/>
      <c r="AF15" s="332"/>
    </row>
    <row r="16" spans="1:32" ht="19.5" customHeight="1" thickBot="1" thickTop="1">
      <c r="A16" s="779"/>
      <c r="B16" s="780"/>
      <c r="C16" s="779"/>
      <c r="D16" s="780"/>
      <c r="E16" s="779"/>
      <c r="F16" s="780"/>
      <c r="G16" s="779"/>
      <c r="H16" s="780"/>
      <c r="I16" s="779"/>
      <c r="J16" s="780"/>
      <c r="K16"/>
      <c r="L16" s="365"/>
      <c r="M16" s="287"/>
      <c r="N16" s="287"/>
      <c r="O16" s="688"/>
      <c r="P16" s="287"/>
      <c r="Q16" s="695"/>
      <c r="R16" s="287"/>
      <c r="S16" s="291"/>
      <c r="T16" s="696"/>
      <c r="U16" s="693"/>
      <c r="W16"/>
      <c r="X16"/>
      <c r="Y16"/>
      <c r="AA16" s="332"/>
      <c r="AB16" s="332"/>
      <c r="AC16" s="332"/>
      <c r="AD16" s="332"/>
      <c r="AE16" s="332"/>
      <c r="AF16" s="332"/>
    </row>
    <row r="17" spans="1:32" ht="19.5" customHeight="1" thickBot="1" thickTop="1">
      <c r="A17" s="779"/>
      <c r="B17" s="780"/>
      <c r="C17" s="779"/>
      <c r="D17" s="780"/>
      <c r="E17" s="779"/>
      <c r="F17" s="780"/>
      <c r="G17" s="779"/>
      <c r="H17" s="780"/>
      <c r="I17" s="779"/>
      <c r="J17" s="780"/>
      <c r="K17"/>
      <c r="L17" s="142"/>
      <c r="M17" s="287"/>
      <c r="N17" s="287"/>
      <c r="O17" s="697"/>
      <c r="P17" s="287"/>
      <c r="Q17" s="695"/>
      <c r="R17" s="287"/>
      <c r="S17" s="291"/>
      <c r="T17" s="696"/>
      <c r="U17" s="699"/>
      <c r="W17"/>
      <c r="X17"/>
      <c r="Y17"/>
      <c r="AA17" s="332"/>
      <c r="AB17" s="332"/>
      <c r="AC17" s="332"/>
      <c r="AD17" s="332"/>
      <c r="AE17" s="332"/>
      <c r="AF17" s="332"/>
    </row>
    <row r="18" spans="1:32" ht="19.5" customHeight="1" thickBot="1" thickTop="1">
      <c r="A18" s="779"/>
      <c r="B18" s="780"/>
      <c r="C18" s="779"/>
      <c r="D18" s="780"/>
      <c r="E18" s="779"/>
      <c r="F18" s="780"/>
      <c r="G18" s="779"/>
      <c r="H18" s="780"/>
      <c r="I18" s="779"/>
      <c r="J18" s="780"/>
      <c r="K18"/>
      <c r="L18" s="365"/>
      <c r="M18" s="287"/>
      <c r="N18" s="287"/>
      <c r="O18" s="698"/>
      <c r="P18" s="287"/>
      <c r="Q18" s="695"/>
      <c r="R18" s="287"/>
      <c r="S18" s="291"/>
      <c r="T18" s="696"/>
      <c r="U18" s="699"/>
      <c r="W18"/>
      <c r="X18"/>
      <c r="Y18"/>
      <c r="AA18" s="332"/>
      <c r="AB18" s="332"/>
      <c r="AC18" s="332"/>
      <c r="AD18" s="332"/>
      <c r="AE18" s="332"/>
      <c r="AF18" s="332"/>
    </row>
    <row r="19" spans="1:32" ht="19.5" customHeight="1" thickBot="1" thickTop="1">
      <c r="A19" s="779"/>
      <c r="B19" s="780"/>
      <c r="C19" s="779"/>
      <c r="D19" s="780"/>
      <c r="E19" s="779"/>
      <c r="F19" s="780"/>
      <c r="G19" s="779"/>
      <c r="H19" s="780"/>
      <c r="I19" s="779"/>
      <c r="J19" s="780"/>
      <c r="K19"/>
      <c r="L19" s="142"/>
      <c r="M19" s="287"/>
      <c r="N19" s="287"/>
      <c r="O19" s="698"/>
      <c r="P19" s="287"/>
      <c r="Q19" s="691"/>
      <c r="R19" s="287"/>
      <c r="S19" s="290"/>
      <c r="T19" s="696"/>
      <c r="U19" s="693"/>
      <c r="W19"/>
      <c r="X19"/>
      <c r="Y19"/>
      <c r="AA19" s="332"/>
      <c r="AB19" s="332"/>
      <c r="AC19" s="332"/>
      <c r="AD19" s="332"/>
      <c r="AE19" s="332"/>
      <c r="AF19" s="332"/>
    </row>
    <row r="20" spans="1:32" ht="19.5" customHeight="1" thickBot="1" thickTop="1">
      <c r="A20" s="779"/>
      <c r="B20" s="780"/>
      <c r="C20" s="779"/>
      <c r="D20" s="780"/>
      <c r="E20" s="779"/>
      <c r="F20" s="780"/>
      <c r="G20" s="779"/>
      <c r="H20" s="780"/>
      <c r="I20" s="779"/>
      <c r="J20" s="780"/>
      <c r="K20"/>
      <c r="L20" s="142"/>
      <c r="M20" s="287"/>
      <c r="N20" s="287"/>
      <c r="O20" s="697"/>
      <c r="P20" s="287"/>
      <c r="Q20" s="695"/>
      <c r="R20" s="287"/>
      <c r="S20" s="290"/>
      <c r="T20" s="696"/>
      <c r="U20" s="693"/>
      <c r="W20"/>
      <c r="X20"/>
      <c r="Y20"/>
      <c r="AA20" s="332"/>
      <c r="AB20" s="332"/>
      <c r="AC20" s="332"/>
      <c r="AD20" s="332"/>
      <c r="AE20" s="332"/>
      <c r="AF20" s="332"/>
    </row>
    <row r="21" spans="1:25" ht="19.5" customHeight="1" thickBot="1" thickTop="1">
      <c r="A21" s="779"/>
      <c r="B21" s="780"/>
      <c r="C21" s="779"/>
      <c r="D21" s="780"/>
      <c r="E21" s="779"/>
      <c r="F21" s="780"/>
      <c r="G21" s="779"/>
      <c r="H21" s="780"/>
      <c r="I21" s="779"/>
      <c r="J21" s="780"/>
      <c r="K21"/>
      <c r="L21" s="142"/>
      <c r="M21" s="287"/>
      <c r="N21" s="287"/>
      <c r="O21" s="688"/>
      <c r="P21" s="287"/>
      <c r="Q21" s="695"/>
      <c r="R21" s="287"/>
      <c r="S21" s="290"/>
      <c r="T21" s="696"/>
      <c r="U21" s="693"/>
      <c r="W21"/>
      <c r="X21"/>
      <c r="Y21"/>
    </row>
    <row r="22" spans="1:25" ht="19.5" customHeight="1" thickBot="1" thickTop="1">
      <c r="A22" s="779"/>
      <c r="B22" s="780"/>
      <c r="C22" s="779"/>
      <c r="D22" s="780"/>
      <c r="E22" s="779"/>
      <c r="F22" s="780"/>
      <c r="G22" s="779"/>
      <c r="H22" s="780"/>
      <c r="I22" s="779"/>
      <c r="J22" s="780"/>
      <c r="K22"/>
      <c r="L22" s="142"/>
      <c r="M22" s="287"/>
      <c r="N22" s="287"/>
      <c r="O22" s="685"/>
      <c r="P22" s="287"/>
      <c r="Q22" s="691"/>
      <c r="R22" s="287"/>
      <c r="S22" s="292"/>
      <c r="T22" s="696"/>
      <c r="U22" s="693"/>
      <c r="W22"/>
      <c r="X22"/>
      <c r="Y22"/>
    </row>
    <row r="23" spans="1:25" ht="19.5" customHeight="1" thickBot="1" thickTop="1">
      <c r="A23" s="779"/>
      <c r="B23" s="780"/>
      <c r="C23" s="779"/>
      <c r="D23" s="780"/>
      <c r="E23" s="779"/>
      <c r="F23" s="780"/>
      <c r="G23" s="779"/>
      <c r="H23" s="780"/>
      <c r="I23" s="779"/>
      <c r="J23" s="780"/>
      <c r="K23"/>
      <c r="L23" s="365"/>
      <c r="M23" s="287"/>
      <c r="N23" s="287"/>
      <c r="O23" s="700"/>
      <c r="P23" s="287"/>
      <c r="Q23" s="287"/>
      <c r="R23" s="287"/>
      <c r="S23" s="292"/>
      <c r="T23" s="696"/>
      <c r="U23" s="693"/>
      <c r="W23"/>
      <c r="X23"/>
      <c r="Y23"/>
    </row>
    <row r="24" spans="1:25" ht="19.5" customHeight="1" thickBot="1" thickTop="1">
      <c r="A24" s="779"/>
      <c r="B24" s="780"/>
      <c r="C24" s="779"/>
      <c r="D24" s="780"/>
      <c r="E24" s="779"/>
      <c r="F24" s="780"/>
      <c r="G24" s="779"/>
      <c r="H24" s="780"/>
      <c r="I24" s="779"/>
      <c r="J24" s="780"/>
      <c r="K24"/>
      <c r="L24" s="142"/>
      <c r="M24" s="287"/>
      <c r="N24" s="287"/>
      <c r="O24" s="685"/>
      <c r="P24" s="287"/>
      <c r="Q24" s="691"/>
      <c r="R24" s="287"/>
      <c r="S24" s="292"/>
      <c r="T24" s="696"/>
      <c r="U24" s="699"/>
      <c r="W24"/>
      <c r="X24"/>
      <c r="Y24"/>
    </row>
    <row r="25" spans="1:25" ht="19.5" customHeight="1" thickBot="1" thickTop="1">
      <c r="A25" s="779"/>
      <c r="B25" s="780"/>
      <c r="C25" s="779"/>
      <c r="D25" s="780"/>
      <c r="E25" s="779"/>
      <c r="F25" s="780"/>
      <c r="G25" s="779"/>
      <c r="H25" s="780"/>
      <c r="I25" s="779"/>
      <c r="J25" s="780"/>
      <c r="K25"/>
      <c r="L25" s="142"/>
      <c r="M25" s="287"/>
      <c r="N25" s="287"/>
      <c r="O25" s="685"/>
      <c r="P25" s="287"/>
      <c r="Q25" s="695"/>
      <c r="R25" s="287"/>
      <c r="S25" s="292"/>
      <c r="T25" s="702"/>
      <c r="U25" s="693"/>
      <c r="W25"/>
      <c r="X25"/>
      <c r="Y25"/>
    </row>
    <row r="26" spans="1:21" ht="19.5" customHeight="1" thickBot="1" thickTop="1">
      <c r="A26" s="779"/>
      <c r="B26" s="780"/>
      <c r="C26" s="779"/>
      <c r="D26" s="780"/>
      <c r="E26" s="779"/>
      <c r="F26" s="780"/>
      <c r="G26" s="779"/>
      <c r="H26" s="780"/>
      <c r="I26" s="779"/>
      <c r="J26" s="780"/>
      <c r="K26"/>
      <c r="L26" s="365"/>
      <c r="M26" s="287"/>
      <c r="N26" s="287"/>
      <c r="O26" s="701"/>
      <c r="P26" s="287"/>
      <c r="Q26" s="287"/>
      <c r="R26" s="287"/>
      <c r="S26" s="287"/>
      <c r="T26" s="287"/>
      <c r="U26" s="287"/>
    </row>
    <row r="27" spans="1:21" ht="19.5" customHeight="1" thickBot="1" thickTop="1">
      <c r="A27" s="779"/>
      <c r="B27" s="780"/>
      <c r="C27" s="779"/>
      <c r="D27" s="780"/>
      <c r="E27" s="779"/>
      <c r="F27" s="780"/>
      <c r="G27" s="779"/>
      <c r="H27" s="780"/>
      <c r="I27" s="779"/>
      <c r="J27" s="780"/>
      <c r="K27"/>
      <c r="L27" s="142"/>
      <c r="M27" s="287"/>
      <c r="N27" s="287"/>
      <c r="O27" s="701"/>
      <c r="P27" s="287"/>
      <c r="Q27" s="287"/>
      <c r="R27" s="287"/>
      <c r="S27" s="703"/>
      <c r="T27" s="287"/>
      <c r="U27" s="287"/>
    </row>
    <row r="28" spans="1:28" ht="19.5" customHeight="1" thickBot="1" thickTop="1">
      <c r="A28" s="779"/>
      <c r="B28" s="780"/>
      <c r="C28" s="779"/>
      <c r="D28" s="780"/>
      <c r="E28" s="779"/>
      <c r="F28" s="780"/>
      <c r="G28" s="779"/>
      <c r="H28" s="780"/>
      <c r="I28" s="779"/>
      <c r="J28" s="780"/>
      <c r="K28"/>
      <c r="L28" s="287"/>
      <c r="M28" s="287"/>
      <c r="N28" s="287"/>
      <c r="O28" s="287"/>
      <c r="P28" s="287"/>
      <c r="Q28" s="287"/>
      <c r="R28" s="287"/>
      <c r="S28" s="289"/>
      <c r="T28" s="287"/>
      <c r="U28" s="704"/>
      <c r="AA28"/>
      <c r="AB28"/>
    </row>
    <row r="29" spans="1:21" ht="19.5" customHeight="1" thickBot="1" thickTop="1">
      <c r="A29" s="779"/>
      <c r="B29" s="780"/>
      <c r="C29" s="779"/>
      <c r="D29" s="780"/>
      <c r="E29" s="779"/>
      <c r="F29" s="780"/>
      <c r="G29" s="779"/>
      <c r="H29" s="780"/>
      <c r="I29" s="779"/>
      <c r="J29" s="780"/>
      <c r="K29"/>
      <c r="L29" s="287"/>
      <c r="M29" s="287"/>
      <c r="N29" s="287"/>
      <c r="O29" s="287"/>
      <c r="P29" s="287"/>
      <c r="Q29" s="287"/>
      <c r="R29" s="287"/>
      <c r="S29" s="324"/>
      <c r="T29" s="705"/>
      <c r="U29" s="704"/>
    </row>
    <row r="30" spans="1:21" ht="19.5" customHeight="1" thickBot="1" thickTop="1">
      <c r="A30" s="779"/>
      <c r="B30" s="780"/>
      <c r="C30" s="779"/>
      <c r="D30" s="780"/>
      <c r="E30" s="779"/>
      <c r="F30" s="780"/>
      <c r="G30" s="779"/>
      <c r="H30" s="780"/>
      <c r="I30" s="779"/>
      <c r="J30" s="780"/>
      <c r="K30"/>
      <c r="L30" s="289"/>
      <c r="M30" s="365"/>
      <c r="N30" s="365"/>
      <c r="O30" s="287"/>
      <c r="P30" s="287"/>
      <c r="Q30" s="287"/>
      <c r="R30" s="287"/>
      <c r="S30" s="324"/>
      <c r="T30" s="705"/>
      <c r="U30" s="704"/>
    </row>
    <row r="31" spans="1:21" ht="19.5" customHeight="1" thickBot="1" thickTop="1">
      <c r="A31" s="779"/>
      <c r="B31" s="780"/>
      <c r="C31" s="779"/>
      <c r="D31" s="780"/>
      <c r="E31" s="779"/>
      <c r="F31" s="780"/>
      <c r="G31" s="779"/>
      <c r="H31" s="780"/>
      <c r="I31" s="779"/>
      <c r="J31" s="780"/>
      <c r="K31"/>
      <c r="L31" s="365"/>
      <c r="M31" s="142"/>
      <c r="N31" s="142"/>
      <c r="O31" s="365"/>
      <c r="P31" s="142"/>
      <c r="Q31" s="142"/>
      <c r="R31" s="287"/>
      <c r="S31" s="324"/>
      <c r="T31" s="705"/>
      <c r="U31" s="704"/>
    </row>
    <row r="32" spans="1:21" ht="19.5" customHeight="1" thickBot="1" thickTop="1">
      <c r="A32" s="779"/>
      <c r="B32" s="780"/>
      <c r="C32" s="779"/>
      <c r="D32" s="780"/>
      <c r="E32" s="779"/>
      <c r="F32" s="780"/>
      <c r="G32" s="779"/>
      <c r="H32" s="780"/>
      <c r="I32" s="779"/>
      <c r="J32" s="780"/>
      <c r="K32"/>
      <c r="L32" s="365"/>
      <c r="M32" s="142"/>
      <c r="N32" s="142"/>
      <c r="O32" s="365"/>
      <c r="P32" s="142"/>
      <c r="Q32" s="142"/>
      <c r="R32" s="287"/>
      <c r="S32" s="706"/>
      <c r="T32" s="288"/>
      <c r="U32" s="288"/>
    </row>
    <row r="33" spans="1:21" ht="19.5" customHeight="1" thickBot="1" thickTop="1">
      <c r="A33" s="779"/>
      <c r="B33" s="780"/>
      <c r="C33" s="779"/>
      <c r="D33" s="780"/>
      <c r="E33" s="779"/>
      <c r="F33" s="780"/>
      <c r="G33" s="779"/>
      <c r="H33" s="780"/>
      <c r="I33" s="779"/>
      <c r="J33" s="780"/>
      <c r="K33"/>
      <c r="L33" s="365"/>
      <c r="M33" s="142"/>
      <c r="N33" s="142"/>
      <c r="O33" s="365"/>
      <c r="P33" s="142"/>
      <c r="Q33" s="142"/>
      <c r="R33" s="365"/>
      <c r="S33" s="706"/>
      <c r="T33" s="288"/>
      <c r="U33" s="288"/>
    </row>
    <row r="34" spans="1:17" ht="13.5" thickTop="1">
      <c r="A34"/>
      <c r="B34"/>
      <c r="C34"/>
      <c r="D34"/>
      <c r="E34"/>
      <c r="F34"/>
      <c r="L34" s="324"/>
      <c r="M34" s="705"/>
      <c r="N34" s="704"/>
      <c r="O34" s="324"/>
      <c r="P34" s="705"/>
      <c r="Q34" s="704"/>
    </row>
    <row r="35" spans="1:6" ht="12.75">
      <c r="A35"/>
      <c r="B35"/>
      <c r="C35"/>
      <c r="D35"/>
      <c r="E35"/>
      <c r="F35"/>
    </row>
    <row r="120" ht="12.75" hidden="1">
      <c r="A120" s="3" t="s">
        <v>1080</v>
      </c>
    </row>
  </sheetData>
  <sheetProtection password="C550" sheet="1" objects="1" scenarios="1"/>
  <mergeCells count="3">
    <mergeCell ref="N4:Q4"/>
    <mergeCell ref="P3:Q3"/>
    <mergeCell ref="M3:N3"/>
  </mergeCells>
  <printOptions horizontalCentered="1" verticalCentered="1"/>
  <pageMargins left="0.25" right="0.25" top="0.25" bottom="0.25" header="0.5" footer="0.5"/>
  <pageSetup fitToHeight="2" orientation="landscape" scale="79" r:id="rId2"/>
  <headerFooter alignWithMargins="0">
    <oddHeader>&amp;R&amp;"Arial,Bold"April 2007</oddHeader>
  </headerFooter>
  <legacyDrawing r:id="rId1"/>
</worksheet>
</file>

<file path=xl/worksheets/sheet20.xml><?xml version="1.0" encoding="utf-8"?>
<worksheet xmlns="http://schemas.openxmlformats.org/spreadsheetml/2006/main" xmlns:r="http://schemas.openxmlformats.org/officeDocument/2006/relationships">
  <sheetPr codeName="Sheet21">
    <tabColor indexed="45"/>
    <pageSetUpPr fitToPage="1"/>
  </sheetPr>
  <dimension ref="A1:I262"/>
  <sheetViews>
    <sheetView zoomScale="75" zoomScaleNormal="75" zoomScalePageLayoutView="0" workbookViewId="0" topLeftCell="A1">
      <pane ySplit="7" topLeftCell="A8" activePane="bottomLeft" state="frozen"/>
      <selection pane="topLeft" activeCell="C9" sqref="C9"/>
      <selection pane="bottomLeft" activeCell="A1" sqref="A1"/>
    </sheetView>
  </sheetViews>
  <sheetFormatPr defaultColWidth="9.140625" defaultRowHeight="12.75"/>
  <cols>
    <col min="1" max="1" width="54.57421875" style="0" customWidth="1"/>
    <col min="2" max="2" width="21.28125" style="485" customWidth="1"/>
    <col min="3" max="3" width="15.57421875" style="0" customWidth="1"/>
    <col min="4" max="4" width="15.421875" style="0" customWidth="1"/>
    <col min="5" max="5" width="13.7109375" style="0" customWidth="1"/>
    <col min="6" max="6" width="39.28125" style="0" customWidth="1"/>
    <col min="7" max="7" width="46.140625" style="0" customWidth="1"/>
    <col min="8" max="8" width="17.7109375" style="0" customWidth="1"/>
    <col min="9" max="9" width="16.7109375" style="0" customWidth="1"/>
  </cols>
  <sheetData>
    <row r="1" spans="1:9" ht="12.75">
      <c r="A1" s="983" t="s">
        <v>21</v>
      </c>
      <c r="B1" s="1050"/>
      <c r="C1" s="1029"/>
      <c r="D1" s="1029"/>
      <c r="E1" s="1029"/>
      <c r="F1" s="1014"/>
      <c r="G1" s="1029"/>
      <c r="H1" s="1029"/>
      <c r="I1" s="1015" t="s">
        <v>22</v>
      </c>
    </row>
    <row r="2" spans="1:9" ht="12.75">
      <c r="A2" s="983" t="s">
        <v>24</v>
      </c>
      <c r="B2" s="1051" t="s">
        <v>240</v>
      </c>
      <c r="C2" s="1032" t="s">
        <v>240</v>
      </c>
      <c r="D2" s="1032" t="s">
        <v>240</v>
      </c>
      <c r="E2" s="1032" t="s">
        <v>240</v>
      </c>
      <c r="F2" s="1032" t="s">
        <v>240</v>
      </c>
      <c r="G2" s="1032" t="s">
        <v>240</v>
      </c>
      <c r="H2" s="1032" t="s">
        <v>240</v>
      </c>
      <c r="I2" s="1032" t="s">
        <v>240</v>
      </c>
    </row>
    <row r="3" spans="1:9" ht="13.5" thickBot="1">
      <c r="A3" s="983" t="s">
        <v>26</v>
      </c>
      <c r="B3" s="1052" t="s">
        <v>27</v>
      </c>
      <c r="C3" s="787" t="s">
        <v>218</v>
      </c>
      <c r="D3" s="787" t="s">
        <v>219</v>
      </c>
      <c r="E3" s="787" t="s">
        <v>241</v>
      </c>
      <c r="F3" s="787" t="s">
        <v>242</v>
      </c>
      <c r="G3" s="787" t="s">
        <v>243</v>
      </c>
      <c r="H3" s="787" t="s">
        <v>37</v>
      </c>
      <c r="I3" s="787" t="s">
        <v>36</v>
      </c>
    </row>
    <row r="4" spans="1:9" ht="150.75" customHeight="1" thickBot="1">
      <c r="A4" s="992" t="s">
        <v>80</v>
      </c>
      <c r="B4" s="1123" t="s">
        <v>99</v>
      </c>
      <c r="C4" s="1111"/>
      <c r="D4" s="1111"/>
      <c r="E4" s="1112"/>
      <c r="F4" s="1180" t="s">
        <v>189</v>
      </c>
      <c r="G4" s="1162" t="s">
        <v>1891</v>
      </c>
      <c r="H4" s="928"/>
      <c r="I4" s="1021"/>
    </row>
    <row r="5" spans="1:9" ht="48" customHeight="1" thickBot="1">
      <c r="A5" s="992" t="s">
        <v>108</v>
      </c>
      <c r="B5" s="1053"/>
      <c r="C5" s="1035"/>
      <c r="D5" s="1035"/>
      <c r="E5" s="1035"/>
      <c r="F5" s="1054" t="s">
        <v>244</v>
      </c>
      <c r="G5" s="1054" t="s">
        <v>245</v>
      </c>
      <c r="H5" s="1035"/>
      <c r="I5" s="1041" t="s">
        <v>112</v>
      </c>
    </row>
    <row r="6" spans="1:9" ht="39" thickBot="1">
      <c r="A6" s="1007" t="s">
        <v>117</v>
      </c>
      <c r="B6" s="1055" t="s">
        <v>1286</v>
      </c>
      <c r="C6" s="1009" t="s">
        <v>227</v>
      </c>
      <c r="D6" s="1009" t="s">
        <v>228</v>
      </c>
      <c r="E6" s="1009" t="s">
        <v>246</v>
      </c>
      <c r="F6" s="1009" t="s">
        <v>247</v>
      </c>
      <c r="G6" s="1010" t="s">
        <v>248</v>
      </c>
      <c r="H6" s="1008" t="s">
        <v>128</v>
      </c>
      <c r="I6" s="1011" t="s">
        <v>127</v>
      </c>
    </row>
    <row r="7" spans="1:9" ht="26.25" thickBot="1">
      <c r="A7" s="1012" t="s">
        <v>272</v>
      </c>
      <c r="B7" s="1293" t="s">
        <v>27</v>
      </c>
      <c r="C7" s="1294" t="s">
        <v>218</v>
      </c>
      <c r="D7" s="1294" t="s">
        <v>219</v>
      </c>
      <c r="E7" s="1294" t="s">
        <v>241</v>
      </c>
      <c r="F7" s="1295" t="s">
        <v>242</v>
      </c>
      <c r="G7" s="1294" t="s">
        <v>243</v>
      </c>
      <c r="H7" s="1294" t="s">
        <v>37</v>
      </c>
      <c r="I7" s="1296" t="s">
        <v>36</v>
      </c>
    </row>
    <row r="8" spans="1:9" ht="12.75">
      <c r="A8" s="1056" t="s">
        <v>249</v>
      </c>
      <c r="B8" s="1289">
        <f>'Design Data'!C10</f>
        <v>0</v>
      </c>
      <c r="C8" s="1139" t="s">
        <v>278</v>
      </c>
      <c r="D8" s="1139">
        <v>1</v>
      </c>
      <c r="E8" s="1141">
        <v>1</v>
      </c>
      <c r="F8" s="1152" t="s">
        <v>905</v>
      </c>
      <c r="G8" s="1153">
        <v>0</v>
      </c>
      <c r="H8" s="1147">
        <f>'Design Data'!S82</f>
        <v>0</v>
      </c>
      <c r="I8" s="1291"/>
    </row>
    <row r="9" spans="1:9" ht="12.75">
      <c r="A9" s="1056" t="s">
        <v>188</v>
      </c>
      <c r="B9" s="1290">
        <f aca="true" t="shared" si="0" ref="B9:B72">B8</f>
        <v>0</v>
      </c>
      <c r="C9" s="1140" t="str">
        <f>C8</f>
        <v>AMMIXPACK</v>
      </c>
      <c r="D9" s="1140">
        <v>1</v>
      </c>
      <c r="E9" s="1142">
        <v>2</v>
      </c>
      <c r="F9" s="1452" t="str">
        <f>IF(B9=""," ",IF(t_smpl!Z8="COMP","ISPC","OSPC"))</f>
        <v>ISPC</v>
      </c>
      <c r="G9" s="1161">
        <v>0</v>
      </c>
      <c r="H9" s="1069">
        <f aca="true" t="shared" si="1" ref="H9:H72">H8</f>
        <v>0</v>
      </c>
      <c r="I9" s="1292"/>
    </row>
    <row r="10" spans="1:9" ht="12.75">
      <c r="A10" s="1056" t="s">
        <v>250</v>
      </c>
      <c r="B10" s="1290">
        <f t="shared" si="0"/>
        <v>0</v>
      </c>
      <c r="C10" s="1140" t="str">
        <f aca="true" t="shared" si="2" ref="C10:C73">C9</f>
        <v>AMMIXPACK</v>
      </c>
      <c r="D10" s="1140">
        <v>1</v>
      </c>
      <c r="E10" s="1142">
        <v>3</v>
      </c>
      <c r="F10" s="1145" t="s">
        <v>905</v>
      </c>
      <c r="G10" s="1161">
        <v>0</v>
      </c>
      <c r="H10" s="1069">
        <f t="shared" si="1"/>
        <v>0</v>
      </c>
      <c r="I10" s="1292"/>
    </row>
    <row r="11" spans="1:9" ht="12.75">
      <c r="A11" s="1056" t="s">
        <v>251</v>
      </c>
      <c r="B11" s="1290">
        <f t="shared" si="0"/>
        <v>0</v>
      </c>
      <c r="C11" s="1140" t="str">
        <f t="shared" si="2"/>
        <v>AMMIXPACK</v>
      </c>
      <c r="D11" s="1140">
        <v>1</v>
      </c>
      <c r="E11" s="1142">
        <v>4</v>
      </c>
      <c r="F11" s="1144" t="s">
        <v>905</v>
      </c>
      <c r="G11" s="1069">
        <v>0</v>
      </c>
      <c r="H11" s="1069">
        <f t="shared" si="1"/>
        <v>0</v>
      </c>
      <c r="I11" s="1292"/>
    </row>
    <row r="12" spans="1:9" ht="12.75">
      <c r="A12" s="1056" t="s">
        <v>252</v>
      </c>
      <c r="B12" s="1290">
        <f t="shared" si="0"/>
        <v>0</v>
      </c>
      <c r="C12" s="1140" t="str">
        <f t="shared" si="2"/>
        <v>AMMIXPACK</v>
      </c>
      <c r="D12" s="1140">
        <v>1</v>
      </c>
      <c r="E12" s="1142">
        <v>5</v>
      </c>
      <c r="F12" s="1144" t="s">
        <v>905</v>
      </c>
      <c r="G12" s="1069">
        <v>0</v>
      </c>
      <c r="H12" s="1069">
        <f t="shared" si="1"/>
        <v>0</v>
      </c>
      <c r="I12" s="1292"/>
    </row>
    <row r="13" spans="1:9" ht="12.75">
      <c r="A13" s="1056" t="s">
        <v>253</v>
      </c>
      <c r="B13" s="1290">
        <f t="shared" si="0"/>
        <v>0</v>
      </c>
      <c r="C13" s="1140" t="str">
        <f t="shared" si="2"/>
        <v>AMMIXPACK</v>
      </c>
      <c r="D13" s="1140">
        <v>1</v>
      </c>
      <c r="E13" s="1142">
        <v>6</v>
      </c>
      <c r="F13" s="1144" t="s">
        <v>905</v>
      </c>
      <c r="G13" s="1069">
        <v>0</v>
      </c>
      <c r="H13" s="1069">
        <f t="shared" si="1"/>
        <v>0</v>
      </c>
      <c r="I13" s="1292"/>
    </row>
    <row r="14" spans="1:9" ht="12.75">
      <c r="A14" s="1056" t="s">
        <v>254</v>
      </c>
      <c r="B14" s="1290">
        <f t="shared" si="0"/>
        <v>0</v>
      </c>
      <c r="C14" s="1140" t="str">
        <f t="shared" si="2"/>
        <v>AMMIXPACK</v>
      </c>
      <c r="D14" s="1140">
        <f>D13</f>
        <v>1</v>
      </c>
      <c r="E14" s="1142">
        <v>7</v>
      </c>
      <c r="F14" s="1144" t="s">
        <v>905</v>
      </c>
      <c r="G14" s="1069">
        <v>0</v>
      </c>
      <c r="H14" s="1069">
        <f t="shared" si="1"/>
        <v>0</v>
      </c>
      <c r="I14" s="1292"/>
    </row>
    <row r="15" spans="1:9" ht="12.75">
      <c r="A15" s="1065" t="s">
        <v>1717</v>
      </c>
      <c r="B15" s="1290">
        <f t="shared" si="0"/>
        <v>0</v>
      </c>
      <c r="C15" s="1140" t="str">
        <f t="shared" si="2"/>
        <v>AMMIXPACK</v>
      </c>
      <c r="D15" s="1140">
        <f aca="true" t="shared" si="3" ref="D15:D78">D14</f>
        <v>1</v>
      </c>
      <c r="E15" s="1141">
        <v>8</v>
      </c>
      <c r="F15" s="1151" t="s">
        <v>905</v>
      </c>
      <c r="G15" s="1161">
        <v>0</v>
      </c>
      <c r="H15" s="1069">
        <f t="shared" si="1"/>
        <v>0</v>
      </c>
      <c r="I15" s="1291"/>
    </row>
    <row r="16" spans="1:9" ht="12.75">
      <c r="A16" s="1043" t="s">
        <v>502</v>
      </c>
      <c r="B16" s="1290">
        <f t="shared" si="0"/>
        <v>0</v>
      </c>
      <c r="C16" s="1140" t="str">
        <f t="shared" si="2"/>
        <v>AMMIXPACK</v>
      </c>
      <c r="D16" s="1140">
        <f t="shared" si="3"/>
        <v>1</v>
      </c>
      <c r="E16" s="1142">
        <v>9</v>
      </c>
      <c r="F16" s="1145" t="str">
        <f>'Design Data'!A19</f>
        <v>(as specified in Bid Item)</v>
      </c>
      <c r="G16" s="1161">
        <v>0</v>
      </c>
      <c r="H16" s="1069">
        <f t="shared" si="1"/>
        <v>0</v>
      </c>
      <c r="I16" s="1292"/>
    </row>
    <row r="17" spans="1:9" ht="12.75">
      <c r="A17" s="1043" t="s">
        <v>2226</v>
      </c>
      <c r="B17" s="1290">
        <f t="shared" si="0"/>
        <v>0</v>
      </c>
      <c r="C17" s="1140" t="str">
        <f t="shared" si="2"/>
        <v>AMMIXPACK</v>
      </c>
      <c r="D17" s="1140">
        <f t="shared" si="3"/>
        <v>1</v>
      </c>
      <c r="E17" s="1142">
        <v>10</v>
      </c>
      <c r="F17" s="1145">
        <f>'Chart Data'!J7</f>
      </c>
      <c r="G17" s="1161">
        <v>0</v>
      </c>
      <c r="H17" s="1069">
        <f t="shared" si="1"/>
        <v>0</v>
      </c>
      <c r="I17" s="1292"/>
    </row>
    <row r="18" spans="1:9" ht="12.75">
      <c r="A18" s="1043" t="s">
        <v>911</v>
      </c>
      <c r="B18" s="1290">
        <f t="shared" si="0"/>
        <v>0</v>
      </c>
      <c r="C18" s="1140" t="str">
        <f t="shared" si="2"/>
        <v>AMMIXPACK</v>
      </c>
      <c r="D18" s="1140">
        <f t="shared" si="3"/>
        <v>1</v>
      </c>
      <c r="E18" s="1142">
        <v>11</v>
      </c>
      <c r="F18" s="1145">
        <f>'Design Data'!K10</f>
        <v>0</v>
      </c>
      <c r="G18" s="1161">
        <v>0</v>
      </c>
      <c r="H18" s="1069">
        <f t="shared" si="1"/>
        <v>0</v>
      </c>
      <c r="I18" s="1292"/>
    </row>
    <row r="19" spans="1:9" ht="12.75">
      <c r="A19" s="1056" t="s">
        <v>2253</v>
      </c>
      <c r="B19" s="1290">
        <f t="shared" si="0"/>
        <v>0</v>
      </c>
      <c r="C19" s="1140" t="str">
        <f t="shared" si="2"/>
        <v>AMMIXPACK</v>
      </c>
      <c r="D19" s="1140">
        <f t="shared" si="3"/>
        <v>1</v>
      </c>
      <c r="E19" s="1142">
        <v>12</v>
      </c>
      <c r="F19" s="1151" t="s">
        <v>905</v>
      </c>
      <c r="G19" s="1069">
        <f>IF('Design Data'!Q12="",0,ROUND('Design Data'!Q12,0))</f>
        <v>0</v>
      </c>
      <c r="H19" s="1069">
        <f t="shared" si="1"/>
        <v>0</v>
      </c>
      <c r="I19" s="1292"/>
    </row>
    <row r="20" spans="1:9" ht="12.75">
      <c r="A20" s="1043" t="s">
        <v>938</v>
      </c>
      <c r="B20" s="1290">
        <f t="shared" si="0"/>
        <v>0</v>
      </c>
      <c r="C20" s="1140" t="str">
        <f t="shared" si="2"/>
        <v>AMMIXPACK</v>
      </c>
      <c r="D20" s="1140">
        <f t="shared" si="3"/>
        <v>1</v>
      </c>
      <c r="E20" s="1142">
        <v>13</v>
      </c>
      <c r="F20" s="1151" t="s">
        <v>905</v>
      </c>
      <c r="G20" s="1069">
        <f>IF('Design Data'!K20="","",ROUND('Design Data'!K20,0))</f>
      </c>
      <c r="H20" s="1069">
        <f t="shared" si="1"/>
        <v>0</v>
      </c>
      <c r="I20" s="1292"/>
    </row>
    <row r="21" spans="1:9" ht="12.75">
      <c r="A21" s="1043" t="s">
        <v>646</v>
      </c>
      <c r="B21" s="1290">
        <f t="shared" si="0"/>
        <v>0</v>
      </c>
      <c r="C21" s="1140" t="str">
        <f t="shared" si="2"/>
        <v>AMMIXPACK</v>
      </c>
      <c r="D21" s="1140">
        <f t="shared" si="3"/>
        <v>1</v>
      </c>
      <c r="E21" s="1142">
        <v>14</v>
      </c>
      <c r="F21" s="1145">
        <f>'Design Data'!C18</f>
      </c>
      <c r="G21" s="1161">
        <v>0</v>
      </c>
      <c r="H21" s="1069">
        <f t="shared" si="1"/>
        <v>0</v>
      </c>
      <c r="I21" s="1292"/>
    </row>
    <row r="22" spans="1:9" ht="12.75">
      <c r="A22" s="1065" t="s">
        <v>1718</v>
      </c>
      <c r="B22" s="1290">
        <f t="shared" si="0"/>
        <v>0</v>
      </c>
      <c r="C22" s="1140" t="str">
        <f t="shared" si="2"/>
        <v>AMMIXPACK</v>
      </c>
      <c r="D22" s="1140">
        <f t="shared" si="3"/>
        <v>1</v>
      </c>
      <c r="E22" s="1142">
        <v>15</v>
      </c>
      <c r="F22" s="1151" t="s">
        <v>905</v>
      </c>
      <c r="G22" s="1161">
        <v>0</v>
      </c>
      <c r="H22" s="1069">
        <f t="shared" si="1"/>
        <v>0</v>
      </c>
      <c r="I22" s="1292"/>
    </row>
    <row r="23" spans="1:9" ht="12.75">
      <c r="A23" s="1056" t="s">
        <v>667</v>
      </c>
      <c r="B23" s="1290">
        <f t="shared" si="0"/>
        <v>0</v>
      </c>
      <c r="C23" s="1140" t="str">
        <f t="shared" si="2"/>
        <v>AMMIXPACK</v>
      </c>
      <c r="D23" s="1140">
        <f t="shared" si="3"/>
        <v>1</v>
      </c>
      <c r="E23" s="1142">
        <v>16</v>
      </c>
      <c r="F23" s="1151" t="s">
        <v>905</v>
      </c>
      <c r="G23" s="1069">
        <f>IF('Design Data'!A86="",0,ROUND('Design Data'!A86,1))</f>
        <v>0</v>
      </c>
      <c r="H23" s="1069">
        <f t="shared" si="1"/>
        <v>0</v>
      </c>
      <c r="I23" s="1292"/>
    </row>
    <row r="24" spans="1:9" ht="12.75">
      <c r="A24" s="1043" t="s">
        <v>668</v>
      </c>
      <c r="B24" s="1290">
        <f t="shared" si="0"/>
        <v>0</v>
      </c>
      <c r="C24" s="1140" t="str">
        <f t="shared" si="2"/>
        <v>AMMIXPACK</v>
      </c>
      <c r="D24" s="1140">
        <f t="shared" si="3"/>
        <v>1</v>
      </c>
      <c r="E24" s="1142">
        <v>17</v>
      </c>
      <c r="F24" s="1151" t="s">
        <v>905</v>
      </c>
      <c r="G24" s="1069">
        <f>IF('Design Data'!B86="",0,ROUND('Design Data'!B86,1))</f>
        <v>0</v>
      </c>
      <c r="H24" s="1069">
        <f t="shared" si="1"/>
        <v>0</v>
      </c>
      <c r="I24" s="1292"/>
    </row>
    <row r="25" spans="1:9" ht="12.75">
      <c r="A25" s="1043" t="s">
        <v>669</v>
      </c>
      <c r="B25" s="1290">
        <f t="shared" si="0"/>
        <v>0</v>
      </c>
      <c r="C25" s="1140" t="str">
        <f t="shared" si="2"/>
        <v>AMMIXPACK</v>
      </c>
      <c r="D25" s="1140">
        <f t="shared" si="3"/>
        <v>1</v>
      </c>
      <c r="E25" s="1142">
        <v>18</v>
      </c>
      <c r="F25" s="1151" t="s">
        <v>905</v>
      </c>
      <c r="G25" s="1069">
        <f>IF('Design Data'!D86="",0,ROUND('Design Data'!D86,1))</f>
        <v>0</v>
      </c>
      <c r="H25" s="1069">
        <f t="shared" si="1"/>
        <v>0</v>
      </c>
      <c r="I25" s="1292"/>
    </row>
    <row r="26" spans="1:9" ht="12.75">
      <c r="A26" s="1043" t="s">
        <v>670</v>
      </c>
      <c r="B26" s="1290">
        <f t="shared" si="0"/>
        <v>0</v>
      </c>
      <c r="C26" s="1140" t="str">
        <f t="shared" si="2"/>
        <v>AMMIXPACK</v>
      </c>
      <c r="D26" s="1140">
        <f t="shared" si="3"/>
        <v>1</v>
      </c>
      <c r="E26" s="1142">
        <v>19</v>
      </c>
      <c r="F26" s="1151" t="s">
        <v>905</v>
      </c>
      <c r="G26" s="1069">
        <f>IF('Design Data'!F86="",0,ROUND('Design Data'!F86,1))</f>
        <v>0</v>
      </c>
      <c r="H26" s="1069">
        <f t="shared" si="1"/>
        <v>0</v>
      </c>
      <c r="I26" s="1292"/>
    </row>
    <row r="27" spans="1:9" ht="12.75">
      <c r="A27" s="1043" t="s">
        <v>671</v>
      </c>
      <c r="B27" s="1290">
        <f t="shared" si="0"/>
        <v>0</v>
      </c>
      <c r="C27" s="1140" t="str">
        <f t="shared" si="2"/>
        <v>AMMIXPACK</v>
      </c>
      <c r="D27" s="1140">
        <f t="shared" si="3"/>
        <v>1</v>
      </c>
      <c r="E27" s="1142">
        <v>20</v>
      </c>
      <c r="F27" s="1151" t="s">
        <v>905</v>
      </c>
      <c r="G27" s="1069">
        <f>IF('Design Data'!B91="",0,ROUND('Design Data'!B91,1))</f>
        <v>0</v>
      </c>
      <c r="H27" s="1069">
        <f t="shared" si="1"/>
        <v>0</v>
      </c>
      <c r="I27" s="1292"/>
    </row>
    <row r="28" spans="1:9" ht="12.75">
      <c r="A28" s="1043" t="s">
        <v>672</v>
      </c>
      <c r="B28" s="1290">
        <f t="shared" si="0"/>
        <v>0</v>
      </c>
      <c r="C28" s="1140" t="str">
        <f t="shared" si="2"/>
        <v>AMMIXPACK</v>
      </c>
      <c r="D28" s="1140">
        <f t="shared" si="3"/>
        <v>1</v>
      </c>
      <c r="E28" s="1142">
        <v>21</v>
      </c>
      <c r="F28" s="1151" t="s">
        <v>905</v>
      </c>
      <c r="G28" s="1069">
        <f>IF('Design Data'!D91="",0,ROUND('Design Data'!D91,1))</f>
        <v>0</v>
      </c>
      <c r="H28" s="1069">
        <f t="shared" si="1"/>
        <v>0</v>
      </c>
      <c r="I28" s="1292"/>
    </row>
    <row r="29" spans="1:9" ht="12.75">
      <c r="A29" s="1043" t="s">
        <v>673</v>
      </c>
      <c r="B29" s="1290">
        <f t="shared" si="0"/>
        <v>0</v>
      </c>
      <c r="C29" s="1140" t="str">
        <f t="shared" si="2"/>
        <v>AMMIXPACK</v>
      </c>
      <c r="D29" s="1140">
        <f t="shared" si="3"/>
        <v>1</v>
      </c>
      <c r="E29" s="1142">
        <v>22</v>
      </c>
      <c r="F29" s="1151" t="s">
        <v>905</v>
      </c>
      <c r="G29" s="1069">
        <f>IF('Design Data'!F91="",0,ROUND('Design Data'!F91,3))</f>
        <v>0</v>
      </c>
      <c r="H29" s="1069">
        <f t="shared" si="1"/>
        <v>0</v>
      </c>
      <c r="I29" s="1292"/>
    </row>
    <row r="30" spans="1:9" ht="12.75">
      <c r="A30" s="1056" t="s">
        <v>674</v>
      </c>
      <c r="B30" s="1290">
        <f t="shared" si="0"/>
        <v>0</v>
      </c>
      <c r="C30" s="1140" t="str">
        <f t="shared" si="2"/>
        <v>AMMIXPACK</v>
      </c>
      <c r="D30" s="1140">
        <f t="shared" si="3"/>
        <v>1</v>
      </c>
      <c r="E30" s="1142">
        <v>23</v>
      </c>
      <c r="F30" s="1151" t="s">
        <v>905</v>
      </c>
      <c r="G30" s="1069">
        <f>IF('Design Data'!B96="",0,ROUND('Design Data'!B96,1))</f>
        <v>0</v>
      </c>
      <c r="H30" s="1069">
        <f t="shared" si="1"/>
        <v>0</v>
      </c>
      <c r="I30" s="1292"/>
    </row>
    <row r="31" spans="1:9" ht="12.75">
      <c r="A31" s="1056" t="s">
        <v>675</v>
      </c>
      <c r="B31" s="1290">
        <f t="shared" si="0"/>
        <v>0</v>
      </c>
      <c r="C31" s="1140" t="str">
        <f t="shared" si="2"/>
        <v>AMMIXPACK</v>
      </c>
      <c r="D31" s="1140">
        <f t="shared" si="3"/>
        <v>1</v>
      </c>
      <c r="E31" s="1142">
        <v>24</v>
      </c>
      <c r="F31" s="1151" t="s">
        <v>905</v>
      </c>
      <c r="G31" s="1069">
        <f>IF('Design Data'!D96="",0,ROUND('Design Data'!D96,1))</f>
        <v>0</v>
      </c>
      <c r="H31" s="1069">
        <f t="shared" si="1"/>
        <v>0</v>
      </c>
      <c r="I31" s="1292"/>
    </row>
    <row r="32" spans="1:9" ht="12.75">
      <c r="A32" s="1056" t="s">
        <v>676</v>
      </c>
      <c r="B32" s="1290">
        <f t="shared" si="0"/>
        <v>0</v>
      </c>
      <c r="C32" s="1140" t="str">
        <f t="shared" si="2"/>
        <v>AMMIXPACK</v>
      </c>
      <c r="D32" s="1140">
        <f t="shared" si="3"/>
        <v>1</v>
      </c>
      <c r="E32" s="1142">
        <v>25</v>
      </c>
      <c r="F32" s="1151" t="s">
        <v>905</v>
      </c>
      <c r="G32" s="1069">
        <f>IF('Design Data'!F96="",0,ROUND('Design Data'!F96,1))</f>
        <v>0</v>
      </c>
      <c r="H32" s="1069">
        <f t="shared" si="1"/>
        <v>0</v>
      </c>
      <c r="I32" s="1292"/>
    </row>
    <row r="33" spans="1:9" ht="12.75">
      <c r="A33" s="1056" t="s">
        <v>691</v>
      </c>
      <c r="B33" s="1290">
        <f t="shared" si="0"/>
        <v>0</v>
      </c>
      <c r="C33" s="1140" t="str">
        <f t="shared" si="2"/>
        <v>AMMIXPACK</v>
      </c>
      <c r="D33" s="1140">
        <f t="shared" si="3"/>
        <v>1</v>
      </c>
      <c r="E33" s="1142">
        <v>26</v>
      </c>
      <c r="F33" s="1151" t="s">
        <v>905</v>
      </c>
      <c r="G33" s="1069">
        <f>IF('Design Data'!A87="",0,ROUND('Design Data'!A87,1))</f>
        <v>0</v>
      </c>
      <c r="H33" s="1069">
        <f t="shared" si="1"/>
        <v>0</v>
      </c>
      <c r="I33" s="1292"/>
    </row>
    <row r="34" spans="1:9" ht="12.75">
      <c r="A34" s="1056" t="s">
        <v>692</v>
      </c>
      <c r="B34" s="1290">
        <f t="shared" si="0"/>
        <v>0</v>
      </c>
      <c r="C34" s="1140" t="str">
        <f t="shared" si="2"/>
        <v>AMMIXPACK</v>
      </c>
      <c r="D34" s="1140">
        <f t="shared" si="3"/>
        <v>1</v>
      </c>
      <c r="E34" s="1142">
        <v>27</v>
      </c>
      <c r="F34" s="1151" t="s">
        <v>905</v>
      </c>
      <c r="G34" s="1069">
        <f>IF('Design Data'!B87="",0,ROUND('Design Data'!B87,1))</f>
        <v>0</v>
      </c>
      <c r="H34" s="1069">
        <f t="shared" si="1"/>
        <v>0</v>
      </c>
      <c r="I34" s="1292"/>
    </row>
    <row r="35" spans="1:9" ht="12.75">
      <c r="A35" s="1056" t="s">
        <v>693</v>
      </c>
      <c r="B35" s="1290">
        <f t="shared" si="0"/>
        <v>0</v>
      </c>
      <c r="C35" s="1140" t="str">
        <f t="shared" si="2"/>
        <v>AMMIXPACK</v>
      </c>
      <c r="D35" s="1140">
        <f t="shared" si="3"/>
        <v>1</v>
      </c>
      <c r="E35" s="1142">
        <v>28</v>
      </c>
      <c r="F35" s="1151" t="s">
        <v>905</v>
      </c>
      <c r="G35" s="1069">
        <f>IF('Design Data'!D87="",0,ROUND('Design Data'!D87,1))</f>
        <v>0</v>
      </c>
      <c r="H35" s="1069">
        <f t="shared" si="1"/>
        <v>0</v>
      </c>
      <c r="I35" s="1292"/>
    </row>
    <row r="36" spans="1:9" ht="12.75">
      <c r="A36" s="1043" t="s">
        <v>694</v>
      </c>
      <c r="B36" s="1290">
        <f t="shared" si="0"/>
        <v>0</v>
      </c>
      <c r="C36" s="1140" t="str">
        <f t="shared" si="2"/>
        <v>AMMIXPACK</v>
      </c>
      <c r="D36" s="1140">
        <f t="shared" si="3"/>
        <v>1</v>
      </c>
      <c r="E36" s="1142">
        <v>29</v>
      </c>
      <c r="F36" s="1151" t="s">
        <v>905</v>
      </c>
      <c r="G36" s="1069">
        <f>IF('Design Data'!F87="",0,ROUND('Design Data'!F87,1))</f>
        <v>0</v>
      </c>
      <c r="H36" s="1069">
        <f t="shared" si="1"/>
        <v>0</v>
      </c>
      <c r="I36" s="1292"/>
    </row>
    <row r="37" spans="1:9" ht="12.75">
      <c r="A37" s="1043" t="s">
        <v>695</v>
      </c>
      <c r="B37" s="1290">
        <f t="shared" si="0"/>
        <v>0</v>
      </c>
      <c r="C37" s="1140" t="str">
        <f t="shared" si="2"/>
        <v>AMMIXPACK</v>
      </c>
      <c r="D37" s="1140">
        <f t="shared" si="3"/>
        <v>1</v>
      </c>
      <c r="E37" s="1142">
        <v>30</v>
      </c>
      <c r="F37" s="1151" t="s">
        <v>905</v>
      </c>
      <c r="G37" s="1069">
        <f>IF('Design Data'!B92="",0,ROUND('Design Data'!B92,1))</f>
        <v>0</v>
      </c>
      <c r="H37" s="1069">
        <f t="shared" si="1"/>
        <v>0</v>
      </c>
      <c r="I37" s="1292"/>
    </row>
    <row r="38" spans="1:9" ht="12.75">
      <c r="A38" s="1043" t="s">
        <v>696</v>
      </c>
      <c r="B38" s="1290">
        <f t="shared" si="0"/>
        <v>0</v>
      </c>
      <c r="C38" s="1140" t="str">
        <f t="shared" si="2"/>
        <v>AMMIXPACK</v>
      </c>
      <c r="D38" s="1140">
        <f t="shared" si="3"/>
        <v>1</v>
      </c>
      <c r="E38" s="1142">
        <v>31</v>
      </c>
      <c r="F38" s="1151" t="s">
        <v>905</v>
      </c>
      <c r="G38" s="1069">
        <f>IF('Design Data'!D92="",0,ROUND('Design Data'!D92,1))</f>
        <v>0</v>
      </c>
      <c r="H38" s="1069">
        <f t="shared" si="1"/>
        <v>0</v>
      </c>
      <c r="I38" s="1292"/>
    </row>
    <row r="39" spans="1:9" ht="12.75">
      <c r="A39" s="1043" t="s">
        <v>697</v>
      </c>
      <c r="B39" s="1290">
        <f t="shared" si="0"/>
        <v>0</v>
      </c>
      <c r="C39" s="1140" t="str">
        <f t="shared" si="2"/>
        <v>AMMIXPACK</v>
      </c>
      <c r="D39" s="1140">
        <f t="shared" si="3"/>
        <v>1</v>
      </c>
      <c r="E39" s="1142">
        <v>32</v>
      </c>
      <c r="F39" s="1151" t="s">
        <v>905</v>
      </c>
      <c r="G39" s="1069">
        <f>IF('Design Data'!F92="",0,ROUND('Design Data'!F92,3))</f>
        <v>0</v>
      </c>
      <c r="H39" s="1069">
        <f t="shared" si="1"/>
        <v>0</v>
      </c>
      <c r="I39" s="1292"/>
    </row>
    <row r="40" spans="1:9" ht="12.75">
      <c r="A40" s="1056" t="s">
        <v>698</v>
      </c>
      <c r="B40" s="1290">
        <f t="shared" si="0"/>
        <v>0</v>
      </c>
      <c r="C40" s="1140" t="str">
        <f t="shared" si="2"/>
        <v>AMMIXPACK</v>
      </c>
      <c r="D40" s="1140">
        <f t="shared" si="3"/>
        <v>1</v>
      </c>
      <c r="E40" s="1142">
        <v>33</v>
      </c>
      <c r="F40" s="1151" t="s">
        <v>905</v>
      </c>
      <c r="G40" s="1069">
        <f>IF('Design Data'!B97="",0,ROUND('Design Data'!B97,1))</f>
        <v>0</v>
      </c>
      <c r="H40" s="1069">
        <f t="shared" si="1"/>
        <v>0</v>
      </c>
      <c r="I40" s="1292"/>
    </row>
    <row r="41" spans="1:9" ht="12.75">
      <c r="A41" s="1056" t="s">
        <v>699</v>
      </c>
      <c r="B41" s="1290">
        <f t="shared" si="0"/>
        <v>0</v>
      </c>
      <c r="C41" s="1140" t="str">
        <f t="shared" si="2"/>
        <v>AMMIXPACK</v>
      </c>
      <c r="D41" s="1140">
        <f t="shared" si="3"/>
        <v>1</v>
      </c>
      <c r="E41" s="1142">
        <v>34</v>
      </c>
      <c r="F41" s="1151" t="s">
        <v>905</v>
      </c>
      <c r="G41" s="1069">
        <f>IF('Design Data'!D97="",0,ROUND('Design Data'!D97,1))</f>
        <v>0</v>
      </c>
      <c r="H41" s="1069">
        <f t="shared" si="1"/>
        <v>0</v>
      </c>
      <c r="I41" s="1292"/>
    </row>
    <row r="42" spans="1:9" ht="12.75">
      <c r="A42" s="1043" t="s">
        <v>700</v>
      </c>
      <c r="B42" s="1290">
        <f t="shared" si="0"/>
        <v>0</v>
      </c>
      <c r="C42" s="1140" t="str">
        <f t="shared" si="2"/>
        <v>AMMIXPACK</v>
      </c>
      <c r="D42" s="1140">
        <f t="shared" si="3"/>
        <v>1</v>
      </c>
      <c r="E42" s="1142">
        <v>35</v>
      </c>
      <c r="F42" s="1151" t="s">
        <v>905</v>
      </c>
      <c r="G42" s="1069">
        <f>IF('Design Data'!F97="",0,ROUND('Design Data'!F97,1))</f>
        <v>0</v>
      </c>
      <c r="H42" s="1069">
        <f t="shared" si="1"/>
        <v>0</v>
      </c>
      <c r="I42" s="1292"/>
    </row>
    <row r="43" spans="1:9" ht="12.75">
      <c r="A43" s="1043" t="s">
        <v>701</v>
      </c>
      <c r="B43" s="1290">
        <f t="shared" si="0"/>
        <v>0</v>
      </c>
      <c r="C43" s="1140" t="str">
        <f t="shared" si="2"/>
        <v>AMMIXPACK</v>
      </c>
      <c r="D43" s="1140">
        <f t="shared" si="3"/>
        <v>1</v>
      </c>
      <c r="E43" s="1142">
        <v>36</v>
      </c>
      <c r="F43" s="1151" t="s">
        <v>905</v>
      </c>
      <c r="G43" s="1069">
        <f>IF('Design Data'!A88="",0,ROUND('Design Data'!A88,1))</f>
        <v>0</v>
      </c>
      <c r="H43" s="1069">
        <f t="shared" si="1"/>
        <v>0</v>
      </c>
      <c r="I43" s="1292"/>
    </row>
    <row r="44" spans="1:9" ht="12.75">
      <c r="A44" s="1043" t="s">
        <v>702</v>
      </c>
      <c r="B44" s="1290">
        <f t="shared" si="0"/>
        <v>0</v>
      </c>
      <c r="C44" s="1140" t="str">
        <f t="shared" si="2"/>
        <v>AMMIXPACK</v>
      </c>
      <c r="D44" s="1140">
        <f t="shared" si="3"/>
        <v>1</v>
      </c>
      <c r="E44" s="1142">
        <v>37</v>
      </c>
      <c r="F44" s="1151" t="s">
        <v>905</v>
      </c>
      <c r="G44" s="1069">
        <f>IF('Design Data'!B88="",0,ROUND('Design Data'!B88,1))</f>
        <v>0</v>
      </c>
      <c r="H44" s="1069">
        <f t="shared" si="1"/>
        <v>0</v>
      </c>
      <c r="I44" s="1292"/>
    </row>
    <row r="45" spans="1:9" ht="12.75">
      <c r="A45" s="1043" t="s">
        <v>703</v>
      </c>
      <c r="B45" s="1290">
        <f t="shared" si="0"/>
        <v>0</v>
      </c>
      <c r="C45" s="1140" t="str">
        <f t="shared" si="2"/>
        <v>AMMIXPACK</v>
      </c>
      <c r="D45" s="1140">
        <f t="shared" si="3"/>
        <v>1</v>
      </c>
      <c r="E45" s="1142">
        <v>38</v>
      </c>
      <c r="F45" s="1151" t="s">
        <v>905</v>
      </c>
      <c r="G45" s="1069">
        <f>IF('Design Data'!D88="",0,ROUND('Design Data'!D88,1))</f>
        <v>0</v>
      </c>
      <c r="H45" s="1069">
        <f t="shared" si="1"/>
        <v>0</v>
      </c>
      <c r="I45" s="1292"/>
    </row>
    <row r="46" spans="1:9" ht="12.75">
      <c r="A46" s="1043" t="s">
        <v>704</v>
      </c>
      <c r="B46" s="1290">
        <f t="shared" si="0"/>
        <v>0</v>
      </c>
      <c r="C46" s="1140" t="str">
        <f t="shared" si="2"/>
        <v>AMMIXPACK</v>
      </c>
      <c r="D46" s="1140">
        <f t="shared" si="3"/>
        <v>1</v>
      </c>
      <c r="E46" s="1142">
        <v>39</v>
      </c>
      <c r="F46" s="1151" t="s">
        <v>905</v>
      </c>
      <c r="G46" s="1069">
        <f>IF('Design Data'!F88="",0,ROUND('Design Data'!F88,1))</f>
        <v>0</v>
      </c>
      <c r="H46" s="1069">
        <f t="shared" si="1"/>
        <v>0</v>
      </c>
      <c r="I46" s="1292"/>
    </row>
    <row r="47" spans="1:9" ht="12.75">
      <c r="A47" s="1043" t="s">
        <v>705</v>
      </c>
      <c r="B47" s="1290">
        <f t="shared" si="0"/>
        <v>0</v>
      </c>
      <c r="C47" s="1140" t="str">
        <f t="shared" si="2"/>
        <v>AMMIXPACK</v>
      </c>
      <c r="D47" s="1140">
        <f t="shared" si="3"/>
        <v>1</v>
      </c>
      <c r="E47" s="1142">
        <v>40</v>
      </c>
      <c r="F47" s="1151" t="s">
        <v>905</v>
      </c>
      <c r="G47" s="1069">
        <f>IF('Design Data'!B93="",0,ROUND('Design Data'!B93,1))</f>
        <v>0</v>
      </c>
      <c r="H47" s="1069">
        <f t="shared" si="1"/>
        <v>0</v>
      </c>
      <c r="I47" s="1292"/>
    </row>
    <row r="48" spans="1:9" ht="12.75">
      <c r="A48" s="1043" t="s">
        <v>706</v>
      </c>
      <c r="B48" s="1290">
        <f t="shared" si="0"/>
        <v>0</v>
      </c>
      <c r="C48" s="1140" t="str">
        <f t="shared" si="2"/>
        <v>AMMIXPACK</v>
      </c>
      <c r="D48" s="1140">
        <f t="shared" si="3"/>
        <v>1</v>
      </c>
      <c r="E48" s="1142">
        <v>41</v>
      </c>
      <c r="F48" s="1151" t="s">
        <v>905</v>
      </c>
      <c r="G48" s="1069">
        <f>IF('Design Data'!D93="",0,ROUND('Design Data'!D93,1))</f>
        <v>0</v>
      </c>
      <c r="H48" s="1069">
        <f t="shared" si="1"/>
        <v>0</v>
      </c>
      <c r="I48" s="1292"/>
    </row>
    <row r="49" spans="1:9" ht="12.75">
      <c r="A49" s="1043" t="s">
        <v>707</v>
      </c>
      <c r="B49" s="1290">
        <f t="shared" si="0"/>
        <v>0</v>
      </c>
      <c r="C49" s="1140" t="str">
        <f t="shared" si="2"/>
        <v>AMMIXPACK</v>
      </c>
      <c r="D49" s="1140">
        <f t="shared" si="3"/>
        <v>1</v>
      </c>
      <c r="E49" s="1142">
        <v>42</v>
      </c>
      <c r="F49" s="1151" t="s">
        <v>905</v>
      </c>
      <c r="G49" s="1069">
        <f>IF('Design Data'!F93="",0,ROUND('Design Data'!F93,3))</f>
        <v>0</v>
      </c>
      <c r="H49" s="1069">
        <f t="shared" si="1"/>
        <v>0</v>
      </c>
      <c r="I49" s="1292"/>
    </row>
    <row r="50" spans="1:9" ht="12.75">
      <c r="A50" s="1043" t="s">
        <v>708</v>
      </c>
      <c r="B50" s="1290">
        <f t="shared" si="0"/>
        <v>0</v>
      </c>
      <c r="C50" s="1140" t="str">
        <f t="shared" si="2"/>
        <v>AMMIXPACK</v>
      </c>
      <c r="D50" s="1140">
        <f t="shared" si="3"/>
        <v>1</v>
      </c>
      <c r="E50" s="1142">
        <v>43</v>
      </c>
      <c r="F50" s="1151" t="s">
        <v>905</v>
      </c>
      <c r="G50" s="1069">
        <f>IF('Design Data'!B98="",0,ROUND('Design Data'!B98,1))</f>
        <v>0</v>
      </c>
      <c r="H50" s="1069">
        <f t="shared" si="1"/>
        <v>0</v>
      </c>
      <c r="I50" s="1292"/>
    </row>
    <row r="51" spans="1:9" ht="12.75">
      <c r="A51" s="1043" t="s">
        <v>709</v>
      </c>
      <c r="B51" s="1290">
        <f t="shared" si="0"/>
        <v>0</v>
      </c>
      <c r="C51" s="1140" t="str">
        <f t="shared" si="2"/>
        <v>AMMIXPACK</v>
      </c>
      <c r="D51" s="1140">
        <f t="shared" si="3"/>
        <v>1</v>
      </c>
      <c r="E51" s="1142">
        <v>44</v>
      </c>
      <c r="F51" s="1151" t="s">
        <v>905</v>
      </c>
      <c r="G51" s="1069">
        <f>IF('Design Data'!D98="",0,ROUND('Design Data'!D98,1))</f>
        <v>0</v>
      </c>
      <c r="H51" s="1069">
        <f t="shared" si="1"/>
        <v>0</v>
      </c>
      <c r="I51" s="1292"/>
    </row>
    <row r="52" spans="1:9" ht="12.75">
      <c r="A52" s="1043" t="s">
        <v>710</v>
      </c>
      <c r="B52" s="1290">
        <f t="shared" si="0"/>
        <v>0</v>
      </c>
      <c r="C52" s="1140" t="str">
        <f t="shared" si="2"/>
        <v>AMMIXPACK</v>
      </c>
      <c r="D52" s="1140">
        <f t="shared" si="3"/>
        <v>1</v>
      </c>
      <c r="E52" s="1142">
        <v>45</v>
      </c>
      <c r="F52" s="1151" t="s">
        <v>905</v>
      </c>
      <c r="G52" s="1069">
        <f>IF('Design Data'!F98="",0,ROUND('Design Data'!F98,1))</f>
        <v>0</v>
      </c>
      <c r="H52" s="1069">
        <f t="shared" si="1"/>
        <v>0</v>
      </c>
      <c r="I52" s="1292"/>
    </row>
    <row r="53" spans="1:9" ht="12.75">
      <c r="A53" s="1043" t="s">
        <v>711</v>
      </c>
      <c r="B53" s="1290">
        <f t="shared" si="0"/>
        <v>0</v>
      </c>
      <c r="C53" s="1140" t="str">
        <f t="shared" si="2"/>
        <v>AMMIXPACK</v>
      </c>
      <c r="D53" s="1140">
        <f t="shared" si="3"/>
        <v>1</v>
      </c>
      <c r="E53" s="1142">
        <v>46</v>
      </c>
      <c r="F53" s="1151" t="s">
        <v>905</v>
      </c>
      <c r="G53" s="1069">
        <f>IF('Design Data'!A89="",0,ROUND('Design Data'!A89,1))</f>
        <v>0</v>
      </c>
      <c r="H53" s="1069">
        <f t="shared" si="1"/>
        <v>0</v>
      </c>
      <c r="I53" s="1292"/>
    </row>
    <row r="54" spans="1:9" ht="12.75">
      <c r="A54" s="1043" t="s">
        <v>712</v>
      </c>
      <c r="B54" s="1290">
        <f t="shared" si="0"/>
        <v>0</v>
      </c>
      <c r="C54" s="1140" t="str">
        <f t="shared" si="2"/>
        <v>AMMIXPACK</v>
      </c>
      <c r="D54" s="1140">
        <f t="shared" si="3"/>
        <v>1</v>
      </c>
      <c r="E54" s="1142">
        <v>47</v>
      </c>
      <c r="F54" s="1151" t="s">
        <v>905</v>
      </c>
      <c r="G54" s="1069">
        <f>IF('Design Data'!B89="",0,ROUND('Design Data'!B89,1))</f>
        <v>0</v>
      </c>
      <c r="H54" s="1069">
        <f t="shared" si="1"/>
        <v>0</v>
      </c>
      <c r="I54" s="1292"/>
    </row>
    <row r="55" spans="1:9" ht="12.75">
      <c r="A55" s="1043" t="s">
        <v>713</v>
      </c>
      <c r="B55" s="1290">
        <f t="shared" si="0"/>
        <v>0</v>
      </c>
      <c r="C55" s="1140" t="str">
        <f t="shared" si="2"/>
        <v>AMMIXPACK</v>
      </c>
      <c r="D55" s="1140">
        <f t="shared" si="3"/>
        <v>1</v>
      </c>
      <c r="E55" s="1142">
        <v>48</v>
      </c>
      <c r="F55" s="1151" t="s">
        <v>905</v>
      </c>
      <c r="G55" s="1069">
        <f>IF('Design Data'!D89="",0,ROUND('Design Data'!D89,1))</f>
        <v>0</v>
      </c>
      <c r="H55" s="1069">
        <f t="shared" si="1"/>
        <v>0</v>
      </c>
      <c r="I55" s="1292"/>
    </row>
    <row r="56" spans="1:9" ht="12.75">
      <c r="A56" s="1043" t="s">
        <v>714</v>
      </c>
      <c r="B56" s="1290">
        <f t="shared" si="0"/>
        <v>0</v>
      </c>
      <c r="C56" s="1140" t="str">
        <f t="shared" si="2"/>
        <v>AMMIXPACK</v>
      </c>
      <c r="D56" s="1140">
        <f t="shared" si="3"/>
        <v>1</v>
      </c>
      <c r="E56" s="1142">
        <v>49</v>
      </c>
      <c r="F56" s="1151" t="s">
        <v>905</v>
      </c>
      <c r="G56" s="1069">
        <f>IF('Design Data'!F89="",0,ROUND('Design Data'!F89,1))</f>
        <v>0</v>
      </c>
      <c r="H56" s="1069">
        <f t="shared" si="1"/>
        <v>0</v>
      </c>
      <c r="I56" s="1292"/>
    </row>
    <row r="57" spans="1:9" ht="12.75">
      <c r="A57" s="1043" t="s">
        <v>715</v>
      </c>
      <c r="B57" s="1290">
        <f t="shared" si="0"/>
        <v>0</v>
      </c>
      <c r="C57" s="1140" t="str">
        <f t="shared" si="2"/>
        <v>AMMIXPACK</v>
      </c>
      <c r="D57" s="1140">
        <f t="shared" si="3"/>
        <v>1</v>
      </c>
      <c r="E57" s="1142">
        <v>50</v>
      </c>
      <c r="F57" s="1151" t="s">
        <v>905</v>
      </c>
      <c r="G57" s="1069">
        <f>IF('Design Data'!B94="",0,ROUND('Design Data'!B94,1))</f>
        <v>0</v>
      </c>
      <c r="H57" s="1069">
        <f t="shared" si="1"/>
        <v>0</v>
      </c>
      <c r="I57" s="1292"/>
    </row>
    <row r="58" spans="1:9" ht="12.75">
      <c r="A58" s="1043" t="s">
        <v>716</v>
      </c>
      <c r="B58" s="1290">
        <f t="shared" si="0"/>
        <v>0</v>
      </c>
      <c r="C58" s="1140" t="str">
        <f t="shared" si="2"/>
        <v>AMMIXPACK</v>
      </c>
      <c r="D58" s="1140">
        <f t="shared" si="3"/>
        <v>1</v>
      </c>
      <c r="E58" s="1142">
        <v>51</v>
      </c>
      <c r="F58" s="1151" t="s">
        <v>905</v>
      </c>
      <c r="G58" s="1069">
        <f>IF('Design Data'!D94="",0,ROUND('Design Data'!D94,1))</f>
        <v>0</v>
      </c>
      <c r="H58" s="1069">
        <f t="shared" si="1"/>
        <v>0</v>
      </c>
      <c r="I58" s="1292"/>
    </row>
    <row r="59" spans="1:9" ht="12.75">
      <c r="A59" s="1043" t="s">
        <v>717</v>
      </c>
      <c r="B59" s="1290">
        <f t="shared" si="0"/>
        <v>0</v>
      </c>
      <c r="C59" s="1140" t="str">
        <f t="shared" si="2"/>
        <v>AMMIXPACK</v>
      </c>
      <c r="D59" s="1140">
        <f t="shared" si="3"/>
        <v>1</v>
      </c>
      <c r="E59" s="1142">
        <v>52</v>
      </c>
      <c r="F59" s="1151" t="s">
        <v>905</v>
      </c>
      <c r="G59" s="1069">
        <f>IF('Design Data'!F94="",0,ROUND('Design Data'!F94,3))</f>
        <v>0</v>
      </c>
      <c r="H59" s="1069">
        <f t="shared" si="1"/>
        <v>0</v>
      </c>
      <c r="I59" s="1292"/>
    </row>
    <row r="60" spans="1:9" ht="12.75">
      <c r="A60" s="1043" t="s">
        <v>718</v>
      </c>
      <c r="B60" s="1290">
        <f t="shared" si="0"/>
        <v>0</v>
      </c>
      <c r="C60" s="1140" t="str">
        <f t="shared" si="2"/>
        <v>AMMIXPACK</v>
      </c>
      <c r="D60" s="1140">
        <f t="shared" si="3"/>
        <v>1</v>
      </c>
      <c r="E60" s="1142">
        <v>53</v>
      </c>
      <c r="F60" s="1151" t="s">
        <v>905</v>
      </c>
      <c r="G60" s="1069">
        <f>IF('Design Data'!B99="",0,ROUND('Design Data'!B99,1))</f>
        <v>0</v>
      </c>
      <c r="H60" s="1069">
        <f t="shared" si="1"/>
        <v>0</v>
      </c>
      <c r="I60" s="1292"/>
    </row>
    <row r="61" spans="1:9" ht="12.75">
      <c r="A61" s="1056" t="s">
        <v>719</v>
      </c>
      <c r="B61" s="1290">
        <f t="shared" si="0"/>
        <v>0</v>
      </c>
      <c r="C61" s="1140" t="str">
        <f t="shared" si="2"/>
        <v>AMMIXPACK</v>
      </c>
      <c r="D61" s="1140">
        <f t="shared" si="3"/>
        <v>1</v>
      </c>
      <c r="E61" s="1142">
        <v>54</v>
      </c>
      <c r="F61" s="1151" t="s">
        <v>905</v>
      </c>
      <c r="G61" s="1069">
        <f>IF('Design Data'!D99="",0,ROUND('Design Data'!D99,1))</f>
        <v>0</v>
      </c>
      <c r="H61" s="1069">
        <f t="shared" si="1"/>
        <v>0</v>
      </c>
      <c r="I61" s="1292"/>
    </row>
    <row r="62" spans="1:9" ht="12.75">
      <c r="A62" s="1043" t="s">
        <v>720</v>
      </c>
      <c r="B62" s="1290">
        <f t="shared" si="0"/>
        <v>0</v>
      </c>
      <c r="C62" s="1140" t="str">
        <f t="shared" si="2"/>
        <v>AMMIXPACK</v>
      </c>
      <c r="D62" s="1140">
        <f t="shared" si="3"/>
        <v>1</v>
      </c>
      <c r="E62" s="1142">
        <v>55</v>
      </c>
      <c r="F62" s="1151" t="s">
        <v>905</v>
      </c>
      <c r="G62" s="1069">
        <f>IF('Design Data'!F99="",0,ROUND('Design Data'!F99,1))</f>
        <v>0</v>
      </c>
      <c r="H62" s="1069">
        <f t="shared" si="1"/>
        <v>0</v>
      </c>
      <c r="I62" s="1292"/>
    </row>
    <row r="63" spans="1:9" ht="12.75">
      <c r="A63" s="1065" t="s">
        <v>1719</v>
      </c>
      <c r="B63" s="1290">
        <f t="shared" si="0"/>
        <v>0</v>
      </c>
      <c r="C63" s="1140" t="str">
        <f t="shared" si="2"/>
        <v>AMMIXPACK</v>
      </c>
      <c r="D63" s="1140">
        <f t="shared" si="3"/>
        <v>1</v>
      </c>
      <c r="E63" s="1142">
        <v>56</v>
      </c>
      <c r="F63" s="1151" t="s">
        <v>905</v>
      </c>
      <c r="G63" s="1161">
        <v>0</v>
      </c>
      <c r="H63" s="1069">
        <f t="shared" si="1"/>
        <v>0</v>
      </c>
      <c r="I63" s="1292"/>
    </row>
    <row r="64" spans="1:9" ht="12.75">
      <c r="A64" s="1065" t="s">
        <v>1720</v>
      </c>
      <c r="B64" s="1290">
        <f t="shared" si="0"/>
        <v>0</v>
      </c>
      <c r="C64" s="1140" t="str">
        <f t="shared" si="2"/>
        <v>AMMIXPACK</v>
      </c>
      <c r="D64" s="1140">
        <f t="shared" si="3"/>
        <v>1</v>
      </c>
      <c r="E64" s="1142">
        <v>57</v>
      </c>
      <c r="F64" s="1151" t="s">
        <v>905</v>
      </c>
      <c r="G64" s="1161">
        <v>0</v>
      </c>
      <c r="H64" s="1069">
        <f t="shared" si="1"/>
        <v>0</v>
      </c>
      <c r="I64" s="1292"/>
    </row>
    <row r="65" spans="1:9" ht="12.75">
      <c r="A65" s="1065" t="s">
        <v>1721</v>
      </c>
      <c r="B65" s="1290">
        <f t="shared" si="0"/>
        <v>0</v>
      </c>
      <c r="C65" s="1140" t="str">
        <f t="shared" si="2"/>
        <v>AMMIXPACK</v>
      </c>
      <c r="D65" s="1140">
        <f t="shared" si="3"/>
        <v>1</v>
      </c>
      <c r="E65" s="1142">
        <v>58</v>
      </c>
      <c r="F65" s="1151" t="s">
        <v>905</v>
      </c>
      <c r="G65" s="1161">
        <v>0</v>
      </c>
      <c r="H65" s="1069">
        <f t="shared" si="1"/>
        <v>0</v>
      </c>
      <c r="I65" s="1292"/>
    </row>
    <row r="66" spans="1:9" ht="12.75">
      <c r="A66" s="1065" t="s">
        <v>1722</v>
      </c>
      <c r="B66" s="1290">
        <f t="shared" si="0"/>
        <v>0</v>
      </c>
      <c r="C66" s="1140" t="str">
        <f t="shared" si="2"/>
        <v>AMMIXPACK</v>
      </c>
      <c r="D66" s="1140">
        <f t="shared" si="3"/>
        <v>1</v>
      </c>
      <c r="E66" s="1142">
        <v>59</v>
      </c>
      <c r="F66" s="1151" t="s">
        <v>905</v>
      </c>
      <c r="G66" s="1161">
        <v>0</v>
      </c>
      <c r="H66" s="1069">
        <f t="shared" si="1"/>
        <v>0</v>
      </c>
      <c r="I66" s="1292"/>
    </row>
    <row r="67" spans="1:9" ht="12.75">
      <c r="A67" s="1065" t="s">
        <v>1723</v>
      </c>
      <c r="B67" s="1290">
        <f t="shared" si="0"/>
        <v>0</v>
      </c>
      <c r="C67" s="1140" t="str">
        <f t="shared" si="2"/>
        <v>AMMIXPACK</v>
      </c>
      <c r="D67" s="1140">
        <f t="shared" si="3"/>
        <v>1</v>
      </c>
      <c r="E67" s="1142">
        <v>60</v>
      </c>
      <c r="F67" s="1151" t="s">
        <v>905</v>
      </c>
      <c r="G67" s="1161">
        <v>0</v>
      </c>
      <c r="H67" s="1069">
        <f t="shared" si="1"/>
        <v>0</v>
      </c>
      <c r="I67" s="1292"/>
    </row>
    <row r="68" spans="1:9" ht="12.75">
      <c r="A68" s="1043" t="s">
        <v>677</v>
      </c>
      <c r="B68" s="1290">
        <f t="shared" si="0"/>
        <v>0</v>
      </c>
      <c r="C68" s="1140" t="str">
        <f t="shared" si="2"/>
        <v>AMMIXPACK</v>
      </c>
      <c r="D68" s="1140">
        <f t="shared" si="3"/>
        <v>1</v>
      </c>
      <c r="E68" s="1142">
        <v>61</v>
      </c>
      <c r="F68" s="1151" t="s">
        <v>905</v>
      </c>
      <c r="G68" s="1146">
        <f>IF('Design Data'!T61="",0,ROUND('Design Data'!T61,0))</f>
        <v>100</v>
      </c>
      <c r="H68" s="1069">
        <f t="shared" si="1"/>
        <v>0</v>
      </c>
      <c r="I68" s="1292"/>
    </row>
    <row r="69" spans="1:9" ht="12.75">
      <c r="A69" s="1056" t="s">
        <v>678</v>
      </c>
      <c r="B69" s="1290">
        <f t="shared" si="0"/>
        <v>0</v>
      </c>
      <c r="C69" s="1140" t="str">
        <f t="shared" si="2"/>
        <v>AMMIXPACK</v>
      </c>
      <c r="D69" s="1140">
        <f t="shared" si="3"/>
        <v>1</v>
      </c>
      <c r="E69" s="1142">
        <v>62</v>
      </c>
      <c r="F69" s="1151" t="s">
        <v>905</v>
      </c>
      <c r="G69" s="1146">
        <f>IF('Design Data'!T62="",0,ROUND('Design Data'!T62,0))</f>
        <v>0</v>
      </c>
      <c r="H69" s="1069">
        <f t="shared" si="1"/>
        <v>0</v>
      </c>
      <c r="I69" s="1292"/>
    </row>
    <row r="70" spans="1:9" ht="12.75">
      <c r="A70" s="1043" t="s">
        <v>679</v>
      </c>
      <c r="B70" s="1290">
        <f t="shared" si="0"/>
        <v>0</v>
      </c>
      <c r="C70" s="1140" t="str">
        <f t="shared" si="2"/>
        <v>AMMIXPACK</v>
      </c>
      <c r="D70" s="1140">
        <f t="shared" si="3"/>
        <v>1</v>
      </c>
      <c r="E70" s="1142">
        <v>63</v>
      </c>
      <c r="F70" s="1151" t="s">
        <v>905</v>
      </c>
      <c r="G70" s="1146">
        <f>IF('Design Data'!T63="",0,ROUND('Design Data'!T63,0))</f>
        <v>0</v>
      </c>
      <c r="H70" s="1069">
        <f t="shared" si="1"/>
        <v>0</v>
      </c>
      <c r="I70" s="1292"/>
    </row>
    <row r="71" spans="1:9" ht="12.75">
      <c r="A71" s="1043" t="s">
        <v>680</v>
      </c>
      <c r="B71" s="1290">
        <f t="shared" si="0"/>
        <v>0</v>
      </c>
      <c r="C71" s="1140" t="str">
        <f t="shared" si="2"/>
        <v>AMMIXPACK</v>
      </c>
      <c r="D71" s="1140">
        <f t="shared" si="3"/>
        <v>1</v>
      </c>
      <c r="E71" s="1142">
        <v>64</v>
      </c>
      <c r="F71" s="1151" t="s">
        <v>905</v>
      </c>
      <c r="G71" s="1146">
        <f>IF('Design Data'!T64="",0,ROUND('Design Data'!T64,0))</f>
        <v>0</v>
      </c>
      <c r="H71" s="1069">
        <f t="shared" si="1"/>
        <v>0</v>
      </c>
      <c r="I71" s="1292"/>
    </row>
    <row r="72" spans="1:9" ht="12.75">
      <c r="A72" s="1043" t="s">
        <v>681</v>
      </c>
      <c r="B72" s="1290">
        <f t="shared" si="0"/>
        <v>0</v>
      </c>
      <c r="C72" s="1140" t="str">
        <f t="shared" si="2"/>
        <v>AMMIXPACK</v>
      </c>
      <c r="D72" s="1140">
        <f t="shared" si="3"/>
        <v>1</v>
      </c>
      <c r="E72" s="1142">
        <v>65</v>
      </c>
      <c r="F72" s="1151" t="s">
        <v>905</v>
      </c>
      <c r="G72" s="1146">
        <f>IF('Design Data'!T65="",0,ROUND('Design Data'!T65,0))</f>
        <v>0</v>
      </c>
      <c r="H72" s="1069">
        <f t="shared" si="1"/>
        <v>0</v>
      </c>
      <c r="I72" s="1292"/>
    </row>
    <row r="73" spans="1:9" ht="12.75">
      <c r="A73" s="1043" t="s">
        <v>682</v>
      </c>
      <c r="B73" s="1290">
        <f aca="true" t="shared" si="4" ref="B73:B136">B72</f>
        <v>0</v>
      </c>
      <c r="C73" s="1140" t="str">
        <f t="shared" si="2"/>
        <v>AMMIXPACK</v>
      </c>
      <c r="D73" s="1140">
        <f t="shared" si="3"/>
        <v>1</v>
      </c>
      <c r="E73" s="1142">
        <v>66</v>
      </c>
      <c r="F73" s="1151" t="s">
        <v>905</v>
      </c>
      <c r="G73" s="1146">
        <f>IF('Design Data'!T66="",0,ROUND('Design Data'!T66,0))</f>
        <v>0</v>
      </c>
      <c r="H73" s="1069">
        <f aca="true" t="shared" si="5" ref="H73:H136">H72</f>
        <v>0</v>
      </c>
      <c r="I73" s="1292"/>
    </row>
    <row r="74" spans="1:9" ht="12.75">
      <c r="A74" s="1043" t="s">
        <v>683</v>
      </c>
      <c r="B74" s="1290">
        <f t="shared" si="4"/>
        <v>0</v>
      </c>
      <c r="C74" s="1140" t="str">
        <f aca="true" t="shared" si="6" ref="C74:C137">C73</f>
        <v>AMMIXPACK</v>
      </c>
      <c r="D74" s="1140">
        <f t="shared" si="3"/>
        <v>1</v>
      </c>
      <c r="E74" s="1142">
        <v>67</v>
      </c>
      <c r="F74" s="1151" t="s">
        <v>905</v>
      </c>
      <c r="G74" s="1069">
        <f>IF('Design Data'!T67="N / A",0,IF('Design Data'!T67="",0,ROUND('Design Data'!T67,0)))</f>
        <v>0</v>
      </c>
      <c r="H74" s="1069">
        <f t="shared" si="5"/>
        <v>0</v>
      </c>
      <c r="I74" s="1292"/>
    </row>
    <row r="75" spans="1:9" ht="12.75">
      <c r="A75" s="1056" t="s">
        <v>684</v>
      </c>
      <c r="B75" s="1290">
        <f t="shared" si="4"/>
        <v>0</v>
      </c>
      <c r="C75" s="1140" t="str">
        <f t="shared" si="6"/>
        <v>AMMIXPACK</v>
      </c>
      <c r="D75" s="1140">
        <f t="shared" si="3"/>
        <v>1</v>
      </c>
      <c r="E75" s="1142">
        <v>68</v>
      </c>
      <c r="F75" s="1151" t="s">
        <v>905</v>
      </c>
      <c r="G75" s="1146">
        <f>IF('Design Data'!T68="",0,ROUND('Design Data'!T68,0))</f>
        <v>0</v>
      </c>
      <c r="H75" s="1069">
        <f t="shared" si="5"/>
        <v>0</v>
      </c>
      <c r="I75" s="1292"/>
    </row>
    <row r="76" spans="1:9" ht="12.75">
      <c r="A76" s="1043" t="s">
        <v>685</v>
      </c>
      <c r="B76" s="1290">
        <f t="shared" si="4"/>
        <v>0</v>
      </c>
      <c r="C76" s="1140" t="str">
        <f t="shared" si="6"/>
        <v>AMMIXPACK</v>
      </c>
      <c r="D76" s="1140">
        <f t="shared" si="3"/>
        <v>1</v>
      </c>
      <c r="E76" s="1142">
        <v>69</v>
      </c>
      <c r="F76" s="1151" t="s">
        <v>905</v>
      </c>
      <c r="G76" s="1069">
        <f>IF('Design Data'!T69="",0,ROUND('Design Data'!T69,0))</f>
        <v>0</v>
      </c>
      <c r="H76" s="1069">
        <f t="shared" si="5"/>
        <v>0</v>
      </c>
      <c r="I76" s="1292"/>
    </row>
    <row r="77" spans="1:9" ht="12.75">
      <c r="A77" s="1043" t="s">
        <v>686</v>
      </c>
      <c r="B77" s="1290">
        <f t="shared" si="4"/>
        <v>0</v>
      </c>
      <c r="C77" s="1140" t="str">
        <f t="shared" si="6"/>
        <v>AMMIXPACK</v>
      </c>
      <c r="D77" s="1140">
        <f t="shared" si="3"/>
        <v>1</v>
      </c>
      <c r="E77" s="1142">
        <v>70</v>
      </c>
      <c r="F77" s="1151" t="s">
        <v>905</v>
      </c>
      <c r="G77" s="1069">
        <f>IF('Design Data'!T70="",0,ROUND('Design Data'!T70,0))</f>
        <v>0</v>
      </c>
      <c r="H77" s="1069">
        <f t="shared" si="5"/>
        <v>0</v>
      </c>
      <c r="I77" s="1292"/>
    </row>
    <row r="78" spans="1:9" ht="12.75">
      <c r="A78" s="1043" t="s">
        <v>687</v>
      </c>
      <c r="B78" s="1290">
        <f t="shared" si="4"/>
        <v>0</v>
      </c>
      <c r="C78" s="1140" t="str">
        <f t="shared" si="6"/>
        <v>AMMIXPACK</v>
      </c>
      <c r="D78" s="1140">
        <f t="shared" si="3"/>
        <v>1</v>
      </c>
      <c r="E78" s="1142">
        <v>71</v>
      </c>
      <c r="F78" s="1151" t="s">
        <v>905</v>
      </c>
      <c r="G78" s="1069">
        <f>IF('Design Data'!T71="",0,ROUND('Design Data'!T71,0))</f>
        <v>0</v>
      </c>
      <c r="H78" s="1069">
        <f t="shared" si="5"/>
        <v>0</v>
      </c>
      <c r="I78" s="1292"/>
    </row>
    <row r="79" spans="1:9" ht="12.75">
      <c r="A79" s="1043" t="s">
        <v>688</v>
      </c>
      <c r="B79" s="1290">
        <f t="shared" si="4"/>
        <v>0</v>
      </c>
      <c r="C79" s="1140" t="str">
        <f t="shared" si="6"/>
        <v>AMMIXPACK</v>
      </c>
      <c r="D79" s="1140">
        <f aca="true" t="shared" si="7" ref="D79:D142">D78</f>
        <v>1</v>
      </c>
      <c r="E79" s="1142">
        <v>72</v>
      </c>
      <c r="F79" s="1151" t="s">
        <v>905</v>
      </c>
      <c r="G79" s="1069">
        <f>IF('Design Data'!T72="",0,ROUND('Design Data'!T72,0))</f>
        <v>0</v>
      </c>
      <c r="H79" s="1069">
        <f t="shared" si="5"/>
        <v>0</v>
      </c>
      <c r="I79" s="1292"/>
    </row>
    <row r="80" spans="1:9" ht="12.75">
      <c r="A80" s="1043" t="s">
        <v>689</v>
      </c>
      <c r="B80" s="1290">
        <f t="shared" si="4"/>
        <v>0</v>
      </c>
      <c r="C80" s="1140" t="str">
        <f t="shared" si="6"/>
        <v>AMMIXPACK</v>
      </c>
      <c r="D80" s="1140">
        <f t="shared" si="7"/>
        <v>1</v>
      </c>
      <c r="E80" s="1142">
        <v>73</v>
      </c>
      <c r="F80" s="1151" t="s">
        <v>905</v>
      </c>
      <c r="G80" s="1069">
        <f>IF('Design Data'!T73="",0,ROUND('Design Data'!T73,0))</f>
        <v>0</v>
      </c>
      <c r="H80" s="1069">
        <f t="shared" si="5"/>
        <v>0</v>
      </c>
      <c r="I80" s="1292"/>
    </row>
    <row r="81" spans="1:9" ht="12.75">
      <c r="A81" s="1056" t="s">
        <v>690</v>
      </c>
      <c r="B81" s="1290">
        <f t="shared" si="4"/>
        <v>0</v>
      </c>
      <c r="C81" s="1140" t="str">
        <f t="shared" si="6"/>
        <v>AMMIXPACK</v>
      </c>
      <c r="D81" s="1140">
        <f t="shared" si="7"/>
        <v>1</v>
      </c>
      <c r="E81" s="1142">
        <v>74</v>
      </c>
      <c r="F81" s="1151" t="s">
        <v>905</v>
      </c>
      <c r="G81" s="1069">
        <f>IF('Design Data'!T74="",0,ROUND('Design Data'!T74,1))</f>
        <v>0</v>
      </c>
      <c r="H81" s="1069">
        <f t="shared" si="5"/>
        <v>0</v>
      </c>
      <c r="I81" s="1292"/>
    </row>
    <row r="82" spans="1:9" ht="12.75">
      <c r="A82" s="1043" t="s">
        <v>92</v>
      </c>
      <c r="B82" s="1290">
        <f t="shared" si="4"/>
        <v>0</v>
      </c>
      <c r="C82" s="1140" t="str">
        <f t="shared" si="6"/>
        <v>AMMIXPACK</v>
      </c>
      <c r="D82" s="1140">
        <f t="shared" si="7"/>
        <v>1</v>
      </c>
      <c r="E82" s="1142">
        <v>75</v>
      </c>
      <c r="F82" s="1151" t="s">
        <v>905</v>
      </c>
      <c r="G82" s="1161">
        <v>0</v>
      </c>
      <c r="H82" s="1069">
        <f t="shared" si="5"/>
        <v>0</v>
      </c>
      <c r="I82" s="1292"/>
    </row>
    <row r="83" spans="1:9" ht="12.75">
      <c r="A83" s="1043" t="s">
        <v>721</v>
      </c>
      <c r="B83" s="1290">
        <f t="shared" si="4"/>
        <v>0</v>
      </c>
      <c r="C83" s="1140" t="str">
        <f t="shared" si="6"/>
        <v>AMMIXPACK</v>
      </c>
      <c r="D83" s="1140">
        <f t="shared" si="7"/>
        <v>1</v>
      </c>
      <c r="E83" s="1142">
        <v>76</v>
      </c>
      <c r="F83" s="1151" t="s">
        <v>905</v>
      </c>
      <c r="G83" s="1069">
        <f>IF('Design Data'!U15="",0,ROUND('Design Data'!U15,0))</f>
        <v>100</v>
      </c>
      <c r="H83" s="1069">
        <f t="shared" si="5"/>
        <v>0</v>
      </c>
      <c r="I83" s="1292"/>
    </row>
    <row r="84" spans="1:9" ht="12.75">
      <c r="A84" s="1043" t="s">
        <v>722</v>
      </c>
      <c r="B84" s="1290">
        <f t="shared" si="4"/>
        <v>0</v>
      </c>
      <c r="C84" s="1140" t="str">
        <f t="shared" si="6"/>
        <v>AMMIXPACK</v>
      </c>
      <c r="D84" s="1140">
        <f t="shared" si="7"/>
        <v>1</v>
      </c>
      <c r="E84" s="1142">
        <v>77</v>
      </c>
      <c r="F84" s="1151" t="s">
        <v>905</v>
      </c>
      <c r="G84" s="1069">
        <f>IF('Design Data'!U16="",0,ROUND('Design Data'!U16,0))</f>
        <v>0</v>
      </c>
      <c r="H84" s="1069">
        <f t="shared" si="5"/>
        <v>0</v>
      </c>
      <c r="I84" s="1292"/>
    </row>
    <row r="85" spans="1:9" ht="12.75">
      <c r="A85" s="1043" t="s">
        <v>723</v>
      </c>
      <c r="B85" s="1290">
        <f t="shared" si="4"/>
        <v>0</v>
      </c>
      <c r="C85" s="1140" t="str">
        <f t="shared" si="6"/>
        <v>AMMIXPACK</v>
      </c>
      <c r="D85" s="1140">
        <f t="shared" si="7"/>
        <v>1</v>
      </c>
      <c r="E85" s="1142">
        <v>78</v>
      </c>
      <c r="F85" s="1151" t="s">
        <v>905</v>
      </c>
      <c r="G85" s="1069">
        <f>IF('Design Data'!U17="",0,ROUND('Design Data'!U17,0))</f>
        <v>0</v>
      </c>
      <c r="H85" s="1069">
        <f t="shared" si="5"/>
        <v>0</v>
      </c>
      <c r="I85" s="1292"/>
    </row>
    <row r="86" spans="1:9" ht="12.75">
      <c r="A86" s="1056" t="s">
        <v>724</v>
      </c>
      <c r="B86" s="1290">
        <f t="shared" si="4"/>
        <v>0</v>
      </c>
      <c r="C86" s="1140" t="str">
        <f t="shared" si="6"/>
        <v>AMMIXPACK</v>
      </c>
      <c r="D86" s="1140">
        <f t="shared" si="7"/>
        <v>1</v>
      </c>
      <c r="E86" s="1142">
        <v>79</v>
      </c>
      <c r="F86" s="1151" t="s">
        <v>905</v>
      </c>
      <c r="G86" s="1069">
        <f>IF('Design Data'!U18="",0,ROUND('Design Data'!U18,0))</f>
        <v>0</v>
      </c>
      <c r="H86" s="1069">
        <f t="shared" si="5"/>
        <v>0</v>
      </c>
      <c r="I86" s="1292"/>
    </row>
    <row r="87" spans="1:9" ht="12.75">
      <c r="A87" s="1043" t="s">
        <v>725</v>
      </c>
      <c r="B87" s="1290">
        <f t="shared" si="4"/>
        <v>0</v>
      </c>
      <c r="C87" s="1140" t="str">
        <f t="shared" si="6"/>
        <v>AMMIXPACK</v>
      </c>
      <c r="D87" s="1140">
        <f t="shared" si="7"/>
        <v>1</v>
      </c>
      <c r="E87" s="1142">
        <v>80</v>
      </c>
      <c r="F87" s="1151" t="s">
        <v>905</v>
      </c>
      <c r="G87" s="1069">
        <f>IF('Design Data'!U19="",0,ROUND('Design Data'!U19,0))</f>
        <v>0</v>
      </c>
      <c r="H87" s="1069">
        <f t="shared" si="5"/>
        <v>0</v>
      </c>
      <c r="I87" s="1292"/>
    </row>
    <row r="88" spans="1:9" ht="12.75">
      <c r="A88" s="1043" t="s">
        <v>726</v>
      </c>
      <c r="B88" s="1290">
        <f t="shared" si="4"/>
        <v>0</v>
      </c>
      <c r="C88" s="1140" t="str">
        <f t="shared" si="6"/>
        <v>AMMIXPACK</v>
      </c>
      <c r="D88" s="1140">
        <f t="shared" si="7"/>
        <v>1</v>
      </c>
      <c r="E88" s="1142">
        <v>81</v>
      </c>
      <c r="F88" s="1151" t="s">
        <v>905</v>
      </c>
      <c r="G88" s="1069">
        <f>IF('Design Data'!U20="",0,ROUND('Design Data'!U20,0))</f>
        <v>0</v>
      </c>
      <c r="H88" s="1069">
        <f t="shared" si="5"/>
        <v>0</v>
      </c>
      <c r="I88" s="1292"/>
    </row>
    <row r="89" spans="1:9" ht="12.75">
      <c r="A89" s="1043" t="s">
        <v>727</v>
      </c>
      <c r="B89" s="1290">
        <f t="shared" si="4"/>
        <v>0</v>
      </c>
      <c r="C89" s="1140" t="str">
        <f t="shared" si="6"/>
        <v>AMMIXPACK</v>
      </c>
      <c r="D89" s="1140">
        <f t="shared" si="7"/>
        <v>1</v>
      </c>
      <c r="E89" s="1142">
        <v>82</v>
      </c>
      <c r="F89" s="1151" t="s">
        <v>905</v>
      </c>
      <c r="G89" s="1069" t="e">
        <f>IF('Design Data'!U21="N /A",0,IF('Design Data'!U21="",0,ROUND('Design Data'!U21,0)))</f>
        <v>#VALUE!</v>
      </c>
      <c r="H89" s="1069">
        <f t="shared" si="5"/>
        <v>0</v>
      </c>
      <c r="I89" s="1292"/>
    </row>
    <row r="90" spans="1:9" ht="12.75">
      <c r="A90" s="1043" t="s">
        <v>728</v>
      </c>
      <c r="B90" s="1290">
        <f t="shared" si="4"/>
        <v>0</v>
      </c>
      <c r="C90" s="1140" t="str">
        <f t="shared" si="6"/>
        <v>AMMIXPACK</v>
      </c>
      <c r="D90" s="1140">
        <f t="shared" si="7"/>
        <v>1</v>
      </c>
      <c r="E90" s="1142">
        <v>83</v>
      </c>
      <c r="F90" s="1151" t="s">
        <v>905</v>
      </c>
      <c r="G90" s="1069">
        <f>IF('Design Data'!U22="",0,ROUND('Design Data'!U22,0))</f>
        <v>0</v>
      </c>
      <c r="H90" s="1069">
        <f t="shared" si="5"/>
        <v>0</v>
      </c>
      <c r="I90" s="1292"/>
    </row>
    <row r="91" spans="1:9" ht="12.75">
      <c r="A91" s="1043" t="s">
        <v>729</v>
      </c>
      <c r="B91" s="1290">
        <f t="shared" si="4"/>
        <v>0</v>
      </c>
      <c r="C91" s="1140" t="str">
        <f t="shared" si="6"/>
        <v>AMMIXPACK</v>
      </c>
      <c r="D91" s="1140">
        <f t="shared" si="7"/>
        <v>1</v>
      </c>
      <c r="E91" s="1142">
        <v>84</v>
      </c>
      <c r="F91" s="1151" t="s">
        <v>905</v>
      </c>
      <c r="G91" s="1069">
        <f>IF('Design Data'!U23="",0,ROUND('Design Data'!U23,0))</f>
        <v>0</v>
      </c>
      <c r="H91" s="1069">
        <f t="shared" si="5"/>
        <v>0</v>
      </c>
      <c r="I91" s="1292"/>
    </row>
    <row r="92" spans="1:9" ht="12.75">
      <c r="A92" s="1056" t="s">
        <v>730</v>
      </c>
      <c r="B92" s="1290">
        <f t="shared" si="4"/>
        <v>0</v>
      </c>
      <c r="C92" s="1140" t="str">
        <f t="shared" si="6"/>
        <v>AMMIXPACK</v>
      </c>
      <c r="D92" s="1140">
        <f t="shared" si="7"/>
        <v>1</v>
      </c>
      <c r="E92" s="1142">
        <v>85</v>
      </c>
      <c r="F92" s="1151" t="s">
        <v>905</v>
      </c>
      <c r="G92" s="1069">
        <f>IF('Design Data'!U24="",0,ROUND('Design Data'!U24,0))</f>
        <v>0</v>
      </c>
      <c r="H92" s="1069">
        <f t="shared" si="5"/>
        <v>0</v>
      </c>
      <c r="I92" s="1292"/>
    </row>
    <row r="93" spans="1:9" ht="12.75">
      <c r="A93" s="1056" t="s">
        <v>731</v>
      </c>
      <c r="B93" s="1290">
        <f t="shared" si="4"/>
        <v>0</v>
      </c>
      <c r="C93" s="1140" t="str">
        <f t="shared" si="6"/>
        <v>AMMIXPACK</v>
      </c>
      <c r="D93" s="1140">
        <f t="shared" si="7"/>
        <v>1</v>
      </c>
      <c r="E93" s="1142">
        <v>86</v>
      </c>
      <c r="F93" s="1151" t="s">
        <v>905</v>
      </c>
      <c r="G93" s="1069">
        <f>IF('Design Data'!U25="",0,ROUND('Design Data'!U25,0))</f>
        <v>0</v>
      </c>
      <c r="H93" s="1069">
        <f t="shared" si="5"/>
        <v>0</v>
      </c>
      <c r="I93" s="1292"/>
    </row>
    <row r="94" spans="1:9" ht="12.75">
      <c r="A94" s="1043" t="s">
        <v>732</v>
      </c>
      <c r="B94" s="1290">
        <f t="shared" si="4"/>
        <v>0</v>
      </c>
      <c r="C94" s="1140" t="str">
        <f t="shared" si="6"/>
        <v>AMMIXPACK</v>
      </c>
      <c r="D94" s="1140">
        <f t="shared" si="7"/>
        <v>1</v>
      </c>
      <c r="E94" s="1142">
        <v>87</v>
      </c>
      <c r="F94" s="1151" t="s">
        <v>905</v>
      </c>
      <c r="G94" s="1069">
        <f>IF('Design Data'!U26="",0,ROUND('Design Data'!U26,0))</f>
        <v>0</v>
      </c>
      <c r="H94" s="1069">
        <f t="shared" si="5"/>
        <v>0</v>
      </c>
      <c r="I94" s="1292"/>
    </row>
    <row r="95" spans="1:9" ht="12.75">
      <c r="A95" s="1043" t="s">
        <v>733</v>
      </c>
      <c r="B95" s="1290">
        <f t="shared" si="4"/>
        <v>0</v>
      </c>
      <c r="C95" s="1140" t="str">
        <f t="shared" si="6"/>
        <v>AMMIXPACK</v>
      </c>
      <c r="D95" s="1140">
        <f t="shared" si="7"/>
        <v>1</v>
      </c>
      <c r="E95" s="1142">
        <v>88</v>
      </c>
      <c r="F95" s="1151" t="s">
        <v>905</v>
      </c>
      <c r="G95" s="1069">
        <f>IF('Design Data'!U27="",0,ROUND('Design Data'!U27,0))</f>
        <v>0</v>
      </c>
      <c r="H95" s="1069">
        <f t="shared" si="5"/>
        <v>0</v>
      </c>
      <c r="I95" s="1292"/>
    </row>
    <row r="96" spans="1:9" ht="12.75">
      <c r="A96" s="1043" t="s">
        <v>734</v>
      </c>
      <c r="B96" s="1290">
        <f t="shared" si="4"/>
        <v>0</v>
      </c>
      <c r="C96" s="1140" t="str">
        <f t="shared" si="6"/>
        <v>AMMIXPACK</v>
      </c>
      <c r="D96" s="1140">
        <f t="shared" si="7"/>
        <v>1</v>
      </c>
      <c r="E96" s="1142">
        <v>89</v>
      </c>
      <c r="F96" s="1151" t="s">
        <v>905</v>
      </c>
      <c r="G96" s="1069">
        <f>IF('Design Data'!U28="",0,ROUND('Design Data'!U28,1))</f>
        <v>0</v>
      </c>
      <c r="H96" s="1069">
        <f t="shared" si="5"/>
        <v>0</v>
      </c>
      <c r="I96" s="1292"/>
    </row>
    <row r="97" spans="1:9" ht="12.75">
      <c r="A97" s="1065" t="s">
        <v>93</v>
      </c>
      <c r="B97" s="1290">
        <f t="shared" si="4"/>
        <v>0</v>
      </c>
      <c r="C97" s="1140" t="str">
        <f t="shared" si="6"/>
        <v>AMMIXPACK</v>
      </c>
      <c r="D97" s="1140">
        <f t="shared" si="7"/>
        <v>1</v>
      </c>
      <c r="E97" s="1142">
        <v>90</v>
      </c>
      <c r="F97" s="1151" t="s">
        <v>905</v>
      </c>
      <c r="G97" s="1161">
        <v>0</v>
      </c>
      <c r="H97" s="1069">
        <f t="shared" si="5"/>
        <v>0</v>
      </c>
      <c r="I97" s="1292"/>
    </row>
    <row r="98" spans="1:9" ht="12.75">
      <c r="A98" s="1065" t="s">
        <v>94</v>
      </c>
      <c r="B98" s="1290">
        <f t="shared" si="4"/>
        <v>0</v>
      </c>
      <c r="C98" s="1140" t="str">
        <f t="shared" si="6"/>
        <v>AMMIXPACK</v>
      </c>
      <c r="D98" s="1140">
        <f t="shared" si="7"/>
        <v>1</v>
      </c>
      <c r="E98" s="1142">
        <v>91</v>
      </c>
      <c r="F98" s="1151" t="s">
        <v>905</v>
      </c>
      <c r="G98" s="1161">
        <v>0</v>
      </c>
      <c r="H98" s="1069">
        <f t="shared" si="5"/>
        <v>0</v>
      </c>
      <c r="I98" s="1292"/>
    </row>
    <row r="99" spans="1:9" ht="12.75">
      <c r="A99" s="1043" t="s">
        <v>1974</v>
      </c>
      <c r="B99" s="1290">
        <f t="shared" si="4"/>
        <v>0</v>
      </c>
      <c r="C99" s="1140" t="str">
        <f t="shared" si="6"/>
        <v>AMMIXPACK</v>
      </c>
      <c r="D99" s="1140">
        <f t="shared" si="7"/>
        <v>1</v>
      </c>
      <c r="E99" s="1142">
        <v>92</v>
      </c>
      <c r="F99" s="1218">
        <f>IF('Design Data'!M76="","",'Design Data'!M76)</f>
      </c>
      <c r="G99" s="1161">
        <v>0</v>
      </c>
      <c r="H99" s="1069">
        <f t="shared" si="5"/>
        <v>0</v>
      </c>
      <c r="I99" s="1292"/>
    </row>
    <row r="100" spans="1:9" ht="12.75">
      <c r="A100" s="1065" t="s">
        <v>95</v>
      </c>
      <c r="B100" s="1290">
        <f t="shared" si="4"/>
        <v>0</v>
      </c>
      <c r="C100" s="1140" t="str">
        <f t="shared" si="6"/>
        <v>AMMIXPACK</v>
      </c>
      <c r="D100" s="1140">
        <f t="shared" si="7"/>
        <v>1</v>
      </c>
      <c r="E100" s="1142">
        <v>93</v>
      </c>
      <c r="F100" s="1151" t="s">
        <v>905</v>
      </c>
      <c r="G100" s="1161">
        <v>0</v>
      </c>
      <c r="H100" s="1069">
        <f t="shared" si="5"/>
        <v>0</v>
      </c>
      <c r="I100" s="1292"/>
    </row>
    <row r="101" spans="1:9" ht="12.75">
      <c r="A101" s="1056" t="s">
        <v>1009</v>
      </c>
      <c r="B101" s="1290">
        <f t="shared" si="4"/>
        <v>0</v>
      </c>
      <c r="C101" s="1140" t="str">
        <f t="shared" si="6"/>
        <v>AMMIXPACK</v>
      </c>
      <c r="D101" s="1140">
        <f t="shared" si="7"/>
        <v>1</v>
      </c>
      <c r="E101" s="1142">
        <v>94</v>
      </c>
      <c r="F101" s="1145">
        <f>'Design Data'!O52</f>
        <v>0</v>
      </c>
      <c r="G101" s="1161">
        <v>0</v>
      </c>
      <c r="H101" s="1069">
        <f t="shared" si="5"/>
        <v>0</v>
      </c>
      <c r="I101" s="1292"/>
    </row>
    <row r="102" spans="1:9" ht="12.75">
      <c r="A102" s="1043" t="s">
        <v>1015</v>
      </c>
      <c r="B102" s="1290">
        <f t="shared" si="4"/>
        <v>0</v>
      </c>
      <c r="C102" s="1140" t="str">
        <f t="shared" si="6"/>
        <v>AMMIXPACK</v>
      </c>
      <c r="D102" s="1140">
        <f t="shared" si="7"/>
        <v>1</v>
      </c>
      <c r="E102" s="1142">
        <v>95</v>
      </c>
      <c r="F102" s="1151" t="s">
        <v>905</v>
      </c>
      <c r="G102" s="1069">
        <f>IF('Design Data'!O53="",0,ROUND('Design Data'!O53,0))</f>
        <v>0</v>
      </c>
      <c r="H102" s="1069">
        <f t="shared" si="5"/>
        <v>0</v>
      </c>
      <c r="I102" s="1292"/>
    </row>
    <row r="103" spans="1:9" ht="12.75">
      <c r="A103" s="1043" t="s">
        <v>1018</v>
      </c>
      <c r="B103" s="1290">
        <f t="shared" si="4"/>
        <v>0</v>
      </c>
      <c r="C103" s="1140" t="str">
        <f t="shared" si="6"/>
        <v>AMMIXPACK</v>
      </c>
      <c r="D103" s="1140">
        <f t="shared" si="7"/>
        <v>1</v>
      </c>
      <c r="E103" s="1142">
        <v>96</v>
      </c>
      <c r="F103" s="1151" t="s">
        <v>905</v>
      </c>
      <c r="G103" s="1069">
        <f>IF('Design Data'!O54="",0,ROUND('Design Data'!O54,0))</f>
        <v>0</v>
      </c>
      <c r="H103" s="1069">
        <f t="shared" si="5"/>
        <v>0</v>
      </c>
      <c r="I103" s="1292"/>
    </row>
    <row r="104" spans="1:9" ht="12.75">
      <c r="A104" s="1043" t="s">
        <v>1025</v>
      </c>
      <c r="B104" s="1290">
        <f t="shared" si="4"/>
        <v>0</v>
      </c>
      <c r="C104" s="1140" t="str">
        <f t="shared" si="6"/>
        <v>AMMIXPACK</v>
      </c>
      <c r="D104" s="1140">
        <f t="shared" si="7"/>
        <v>1</v>
      </c>
      <c r="E104" s="1142">
        <v>97</v>
      </c>
      <c r="F104" s="1151" t="s">
        <v>905</v>
      </c>
      <c r="G104" s="1069">
        <f>IF('Design Data'!O55="",0,ROUND('Design Data'!O55,0))</f>
        <v>0</v>
      </c>
      <c r="H104" s="1069">
        <f t="shared" si="5"/>
        <v>0</v>
      </c>
      <c r="I104" s="1292"/>
    </row>
    <row r="105" spans="1:9" ht="12.75">
      <c r="A105" s="1043" t="s">
        <v>974</v>
      </c>
      <c r="B105" s="1290">
        <f t="shared" si="4"/>
        <v>0</v>
      </c>
      <c r="C105" s="1140" t="str">
        <f t="shared" si="6"/>
        <v>AMMIXPACK</v>
      </c>
      <c r="D105" s="1140">
        <f t="shared" si="7"/>
        <v>1</v>
      </c>
      <c r="E105" s="1142">
        <v>98</v>
      </c>
      <c r="F105" s="1151" t="s">
        <v>905</v>
      </c>
      <c r="G105" s="1069">
        <f>IF('Design Data'!O56="",0,ROUND('Design Data'!O56,1))</f>
        <v>0</v>
      </c>
      <c r="H105" s="1069">
        <f t="shared" si="5"/>
        <v>0</v>
      </c>
      <c r="I105" s="1292"/>
    </row>
    <row r="106" spans="1:9" ht="12.75">
      <c r="A106" s="1056" t="s">
        <v>973</v>
      </c>
      <c r="B106" s="1290">
        <f t="shared" si="4"/>
        <v>0</v>
      </c>
      <c r="C106" s="1140" t="str">
        <f t="shared" si="6"/>
        <v>AMMIXPACK</v>
      </c>
      <c r="D106" s="1140">
        <f t="shared" si="7"/>
        <v>1</v>
      </c>
      <c r="E106" s="1142">
        <v>99</v>
      </c>
      <c r="F106" s="1151" t="s">
        <v>905</v>
      </c>
      <c r="G106" s="1069">
        <f>IF('Design Data'!O57="",0,ROUND('Design Data'!O57,1))</f>
        <v>0</v>
      </c>
      <c r="H106" s="1069">
        <f t="shared" si="5"/>
        <v>0</v>
      </c>
      <c r="I106" s="1292"/>
    </row>
    <row r="107" spans="1:9" ht="12.75">
      <c r="A107" s="1056" t="s">
        <v>1030</v>
      </c>
      <c r="B107" s="1290">
        <f t="shared" si="4"/>
        <v>0</v>
      </c>
      <c r="C107" s="1140" t="str">
        <f t="shared" si="6"/>
        <v>AMMIXPACK</v>
      </c>
      <c r="D107" s="1140">
        <f t="shared" si="7"/>
        <v>1</v>
      </c>
      <c r="E107" s="1142">
        <v>100</v>
      </c>
      <c r="F107" s="1151" t="s">
        <v>905</v>
      </c>
      <c r="G107" s="1069">
        <f>IF('Design Data'!O58="",0,ROUND('Design Data'!O58,1))</f>
        <v>0</v>
      </c>
      <c r="H107" s="1069">
        <f t="shared" si="5"/>
        <v>0</v>
      </c>
      <c r="I107" s="1292"/>
    </row>
    <row r="108" spans="1:9" ht="12.75">
      <c r="A108" s="1056" t="s">
        <v>1703</v>
      </c>
      <c r="B108" s="1290">
        <f t="shared" si="4"/>
        <v>0</v>
      </c>
      <c r="C108" s="1140" t="str">
        <f t="shared" si="6"/>
        <v>AMMIXPACK</v>
      </c>
      <c r="D108" s="1140">
        <f t="shared" si="7"/>
        <v>1</v>
      </c>
      <c r="E108" s="1142">
        <v>101</v>
      </c>
      <c r="F108" s="1151" t="s">
        <v>905</v>
      </c>
      <c r="G108" s="1069">
        <f>IF('Design Data'!O59="",0,ROUND('Design Data'!O59,1))</f>
        <v>0</v>
      </c>
      <c r="H108" s="1069">
        <f t="shared" si="5"/>
        <v>0</v>
      </c>
      <c r="I108" s="1292"/>
    </row>
    <row r="109" spans="1:9" ht="12.75">
      <c r="A109" s="1056" t="s">
        <v>1704</v>
      </c>
      <c r="B109" s="1290">
        <f t="shared" si="4"/>
        <v>0</v>
      </c>
      <c r="C109" s="1140" t="str">
        <f t="shared" si="6"/>
        <v>AMMIXPACK</v>
      </c>
      <c r="D109" s="1140">
        <f t="shared" si="7"/>
        <v>1</v>
      </c>
      <c r="E109" s="1142">
        <v>102</v>
      </c>
      <c r="F109" s="1151" t="s">
        <v>905</v>
      </c>
      <c r="G109" s="1069">
        <f>IF('Design Data'!O60="",0,ROUND('Design Data'!O60,1))</f>
        <v>0</v>
      </c>
      <c r="H109" s="1069">
        <f t="shared" si="5"/>
        <v>0</v>
      </c>
      <c r="I109" s="1292"/>
    </row>
    <row r="110" spans="1:9" ht="12.75">
      <c r="A110" s="1056" t="s">
        <v>1034</v>
      </c>
      <c r="B110" s="1290">
        <f t="shared" si="4"/>
        <v>0</v>
      </c>
      <c r="C110" s="1140" t="str">
        <f t="shared" si="6"/>
        <v>AMMIXPACK</v>
      </c>
      <c r="D110" s="1140">
        <f t="shared" si="7"/>
        <v>1</v>
      </c>
      <c r="E110" s="1142">
        <v>103</v>
      </c>
      <c r="F110" s="1151" t="s">
        <v>905</v>
      </c>
      <c r="G110" s="1069">
        <f>IF('Design Data'!O61="",0,ROUND('Design Data'!O61,1))</f>
        <v>0</v>
      </c>
      <c r="H110" s="1069">
        <f t="shared" si="5"/>
        <v>0</v>
      </c>
      <c r="I110" s="1292"/>
    </row>
    <row r="111" spans="1:9" ht="12.75">
      <c r="A111" s="1043" t="s">
        <v>1705</v>
      </c>
      <c r="B111" s="1290">
        <f t="shared" si="4"/>
        <v>0</v>
      </c>
      <c r="C111" s="1140" t="str">
        <f t="shared" si="6"/>
        <v>AMMIXPACK</v>
      </c>
      <c r="D111" s="1140">
        <f t="shared" si="7"/>
        <v>1</v>
      </c>
      <c r="E111" s="1142">
        <v>104</v>
      </c>
      <c r="F111" s="1151" t="s">
        <v>905</v>
      </c>
      <c r="G111" s="1069">
        <f>IF('Design Data'!O62="",0,ROUND('Design Data'!O62,1))</f>
        <v>0</v>
      </c>
      <c r="H111" s="1069">
        <f t="shared" si="5"/>
        <v>0</v>
      </c>
      <c r="I111" s="1292"/>
    </row>
    <row r="112" spans="1:9" ht="12.75">
      <c r="A112" s="1043" t="s">
        <v>964</v>
      </c>
      <c r="B112" s="1290">
        <f t="shared" si="4"/>
        <v>0</v>
      </c>
      <c r="C112" s="1140" t="str">
        <f t="shared" si="6"/>
        <v>AMMIXPACK</v>
      </c>
      <c r="D112" s="1140">
        <f t="shared" si="7"/>
        <v>1</v>
      </c>
      <c r="E112" s="1142">
        <v>105</v>
      </c>
      <c r="F112" s="1151" t="s">
        <v>905</v>
      </c>
      <c r="G112" s="1069">
        <f>IF('Design Data'!O63="",0,ROUND('Design Data'!O63,1))</f>
        <v>0</v>
      </c>
      <c r="H112" s="1069">
        <f t="shared" si="5"/>
        <v>0</v>
      </c>
      <c r="I112" s="1292"/>
    </row>
    <row r="113" spans="1:9" ht="12.75">
      <c r="A113" s="1043" t="s">
        <v>1036</v>
      </c>
      <c r="B113" s="1290">
        <f t="shared" si="4"/>
        <v>0</v>
      </c>
      <c r="C113" s="1140" t="str">
        <f t="shared" si="6"/>
        <v>AMMIXPACK</v>
      </c>
      <c r="D113" s="1140">
        <f t="shared" si="7"/>
        <v>1</v>
      </c>
      <c r="E113" s="1142">
        <v>106</v>
      </c>
      <c r="F113" s="1151" t="s">
        <v>905</v>
      </c>
      <c r="G113" s="1069">
        <f>IF('Design Data'!O64="",0,ROUND('Design Data'!O64,1))</f>
        <v>0</v>
      </c>
      <c r="H113" s="1069">
        <f t="shared" si="5"/>
        <v>0</v>
      </c>
      <c r="I113" s="1292"/>
    </row>
    <row r="114" spans="1:9" ht="12.75">
      <c r="A114" s="1043" t="s">
        <v>1037</v>
      </c>
      <c r="B114" s="1290">
        <f t="shared" si="4"/>
        <v>0</v>
      </c>
      <c r="C114" s="1140" t="str">
        <f t="shared" si="6"/>
        <v>AMMIXPACK</v>
      </c>
      <c r="D114" s="1140">
        <f t="shared" si="7"/>
        <v>1</v>
      </c>
      <c r="E114" s="1142">
        <v>107</v>
      </c>
      <c r="F114" s="1151" t="s">
        <v>905</v>
      </c>
      <c r="G114" s="1069">
        <f>IF('Design Data'!O65="",0,ROUND('Design Data'!O65,3))</f>
        <v>0</v>
      </c>
      <c r="H114" s="1069">
        <f t="shared" si="5"/>
        <v>0</v>
      </c>
      <c r="I114" s="1292"/>
    </row>
    <row r="115" spans="1:9" ht="12.75">
      <c r="A115" s="1043" t="s">
        <v>1038</v>
      </c>
      <c r="B115" s="1290">
        <f t="shared" si="4"/>
        <v>0</v>
      </c>
      <c r="C115" s="1140" t="str">
        <f t="shared" si="6"/>
        <v>AMMIXPACK</v>
      </c>
      <c r="D115" s="1140">
        <f t="shared" si="7"/>
        <v>1</v>
      </c>
      <c r="E115" s="1142">
        <v>108</v>
      </c>
      <c r="F115" s="1151" t="s">
        <v>905</v>
      </c>
      <c r="G115" s="1069">
        <f>IF('Design Data'!O66="",0,ROUND('Design Data'!O66,2))</f>
        <v>0</v>
      </c>
      <c r="H115" s="1069">
        <f t="shared" si="5"/>
        <v>0</v>
      </c>
      <c r="I115" s="1292"/>
    </row>
    <row r="116" spans="1:9" ht="12.75">
      <c r="A116" s="1043" t="s">
        <v>1706</v>
      </c>
      <c r="B116" s="1290">
        <f t="shared" si="4"/>
        <v>0</v>
      </c>
      <c r="C116" s="1140" t="str">
        <f t="shared" si="6"/>
        <v>AMMIXPACK</v>
      </c>
      <c r="D116" s="1140">
        <f t="shared" si="7"/>
        <v>1</v>
      </c>
      <c r="E116" s="1142">
        <v>109</v>
      </c>
      <c r="F116" s="1151" t="s">
        <v>905</v>
      </c>
      <c r="G116" s="1069">
        <f>IF('Design Data'!O67="",0,ROUND('Design Data'!O67,2))</f>
        <v>0</v>
      </c>
      <c r="H116" s="1069">
        <f t="shared" si="5"/>
        <v>0</v>
      </c>
      <c r="I116" s="1292"/>
    </row>
    <row r="117" spans="1:9" ht="12.75">
      <c r="A117" s="1043" t="s">
        <v>1707</v>
      </c>
      <c r="B117" s="1290">
        <f t="shared" si="4"/>
        <v>0</v>
      </c>
      <c r="C117" s="1140" t="str">
        <f t="shared" si="6"/>
        <v>AMMIXPACK</v>
      </c>
      <c r="D117" s="1140">
        <f t="shared" si="7"/>
        <v>1</v>
      </c>
      <c r="E117" s="1142">
        <v>110</v>
      </c>
      <c r="F117" s="1151" t="s">
        <v>905</v>
      </c>
      <c r="G117" s="1069">
        <f>IF('Design Data'!O68="",0,ROUND('Design Data'!O68,3))</f>
        <v>0</v>
      </c>
      <c r="H117" s="1069">
        <f t="shared" si="5"/>
        <v>0</v>
      </c>
      <c r="I117" s="1292"/>
    </row>
    <row r="118" spans="1:9" ht="12.75">
      <c r="A118" s="1056" t="s">
        <v>1041</v>
      </c>
      <c r="B118" s="1290">
        <f t="shared" si="4"/>
        <v>0</v>
      </c>
      <c r="C118" s="1140" t="str">
        <f t="shared" si="6"/>
        <v>AMMIXPACK</v>
      </c>
      <c r="D118" s="1140">
        <f t="shared" si="7"/>
        <v>1</v>
      </c>
      <c r="E118" s="1142">
        <v>111</v>
      </c>
      <c r="F118" s="1151" t="s">
        <v>905</v>
      </c>
      <c r="G118" s="1069">
        <f>IF('Design Data'!O69="",0,ROUND('Design Data'!O69,1))</f>
        <v>0</v>
      </c>
      <c r="H118" s="1069">
        <f t="shared" si="5"/>
        <v>0</v>
      </c>
      <c r="I118" s="1292"/>
    </row>
    <row r="119" spans="1:9" ht="12.75">
      <c r="A119" s="1056" t="s">
        <v>1042</v>
      </c>
      <c r="B119" s="1290">
        <f t="shared" si="4"/>
        <v>0</v>
      </c>
      <c r="C119" s="1140" t="str">
        <f t="shared" si="6"/>
        <v>AMMIXPACK</v>
      </c>
      <c r="D119" s="1140">
        <f t="shared" si="7"/>
        <v>1</v>
      </c>
      <c r="E119" s="1142">
        <v>112</v>
      </c>
      <c r="F119" s="1151" t="s">
        <v>905</v>
      </c>
      <c r="G119" s="1069">
        <f>IF('Design Data'!O70="",0,ROUND('Design Data'!O70,0))</f>
        <v>0</v>
      </c>
      <c r="H119" s="1069">
        <f t="shared" si="5"/>
        <v>0</v>
      </c>
      <c r="I119" s="1292"/>
    </row>
    <row r="120" spans="1:9" ht="12.75">
      <c r="A120" s="1043" t="s">
        <v>1043</v>
      </c>
      <c r="B120" s="1290">
        <f t="shared" si="4"/>
        <v>0</v>
      </c>
      <c r="C120" s="1140" t="str">
        <f t="shared" si="6"/>
        <v>AMMIXPACK</v>
      </c>
      <c r="D120" s="1140">
        <f t="shared" si="7"/>
        <v>1</v>
      </c>
      <c r="E120" s="1142">
        <v>113</v>
      </c>
      <c r="F120" s="1151" t="s">
        <v>905</v>
      </c>
      <c r="G120" s="1069">
        <f>IF('Design Data'!O71="",0,ROUND('Design Data'!O71,0))</f>
        <v>0</v>
      </c>
      <c r="H120" s="1069">
        <f t="shared" si="5"/>
        <v>0</v>
      </c>
      <c r="I120" s="1292"/>
    </row>
    <row r="121" spans="1:9" ht="12.75">
      <c r="A121" s="1043" t="s">
        <v>1044</v>
      </c>
      <c r="B121" s="1290">
        <f t="shared" si="4"/>
        <v>0</v>
      </c>
      <c r="C121" s="1140" t="str">
        <f t="shared" si="6"/>
        <v>AMMIXPACK</v>
      </c>
      <c r="D121" s="1140">
        <f t="shared" si="7"/>
        <v>1</v>
      </c>
      <c r="E121" s="1142">
        <v>114</v>
      </c>
      <c r="F121" s="1151" t="s">
        <v>905</v>
      </c>
      <c r="G121" s="1220">
        <f>IF('Design Data'!O72="",0,ROUND('Design Data'!O72,0))</f>
        <v>0</v>
      </c>
      <c r="H121" s="1069">
        <f t="shared" si="5"/>
        <v>0</v>
      </c>
      <c r="I121" s="1292"/>
    </row>
    <row r="122" spans="1:9" ht="12.75">
      <c r="A122" s="1043" t="s">
        <v>1045</v>
      </c>
      <c r="B122" s="1290">
        <f t="shared" si="4"/>
        <v>0</v>
      </c>
      <c r="C122" s="1140" t="str">
        <f t="shared" si="6"/>
        <v>AMMIXPACK</v>
      </c>
      <c r="D122" s="1140">
        <f t="shared" si="7"/>
        <v>1</v>
      </c>
      <c r="E122" s="1142">
        <v>115</v>
      </c>
      <c r="F122" s="1151" t="s">
        <v>905</v>
      </c>
      <c r="G122" s="1220">
        <f>IF('Design Data'!O73="",0,ROUND('Design Data'!O73,0))</f>
        <v>0</v>
      </c>
      <c r="H122" s="1069">
        <f t="shared" si="5"/>
        <v>0</v>
      </c>
      <c r="I122" s="1292"/>
    </row>
    <row r="123" spans="1:9" ht="12.75">
      <c r="A123" s="1043" t="s">
        <v>1046</v>
      </c>
      <c r="B123" s="1290">
        <f t="shared" si="4"/>
        <v>0</v>
      </c>
      <c r="C123" s="1140" t="str">
        <f t="shared" si="6"/>
        <v>AMMIXPACK</v>
      </c>
      <c r="D123" s="1140">
        <f t="shared" si="7"/>
        <v>1</v>
      </c>
      <c r="E123" s="1142">
        <v>116</v>
      </c>
      <c r="F123" s="1151" t="s">
        <v>905</v>
      </c>
      <c r="G123" s="1220">
        <f>IF('Design Data'!O74="",0,ROUND('Design Data'!O74,2))</f>
        <v>0</v>
      </c>
      <c r="H123" s="1069">
        <f t="shared" si="5"/>
        <v>0</v>
      </c>
      <c r="I123" s="1292"/>
    </row>
    <row r="124" spans="1:9" ht="12.75">
      <c r="A124" s="1043" t="s">
        <v>1047</v>
      </c>
      <c r="B124" s="1290">
        <f t="shared" si="4"/>
        <v>0</v>
      </c>
      <c r="C124" s="1140" t="str">
        <f t="shared" si="6"/>
        <v>AMMIXPACK</v>
      </c>
      <c r="D124" s="1140">
        <f t="shared" si="7"/>
        <v>1</v>
      </c>
      <c r="E124" s="1142">
        <v>117</v>
      </c>
      <c r="F124" s="1145">
        <f>'Design Data'!O75</f>
      </c>
      <c r="G124" s="1161">
        <v>0</v>
      </c>
      <c r="H124" s="1069">
        <f t="shared" si="5"/>
        <v>0</v>
      </c>
      <c r="I124" s="1292"/>
    </row>
    <row r="125" spans="1:9" ht="12.75">
      <c r="A125" s="1065" t="s">
        <v>96</v>
      </c>
      <c r="B125" s="1290">
        <f t="shared" si="4"/>
        <v>0</v>
      </c>
      <c r="C125" s="1140" t="str">
        <f t="shared" si="6"/>
        <v>AMMIXPACK</v>
      </c>
      <c r="D125" s="1140">
        <f t="shared" si="7"/>
        <v>1</v>
      </c>
      <c r="E125" s="1142">
        <v>118</v>
      </c>
      <c r="F125" s="1151" t="s">
        <v>905</v>
      </c>
      <c r="G125" s="1161">
        <v>0</v>
      </c>
      <c r="H125" s="1069">
        <f t="shared" si="5"/>
        <v>0</v>
      </c>
      <c r="I125" s="1292"/>
    </row>
    <row r="126" spans="1:9" ht="12.75">
      <c r="A126" s="1043" t="s">
        <v>735</v>
      </c>
      <c r="B126" s="1290">
        <f t="shared" si="4"/>
        <v>0</v>
      </c>
      <c r="C126" s="1140" t="str">
        <f t="shared" si="6"/>
        <v>AMMIXPACK</v>
      </c>
      <c r="D126" s="1140">
        <f t="shared" si="7"/>
        <v>1</v>
      </c>
      <c r="E126" s="1142">
        <v>119</v>
      </c>
      <c r="F126" s="1145">
        <f>'Design Data'!P52</f>
      </c>
      <c r="G126" s="1161">
        <v>0</v>
      </c>
      <c r="H126" s="1069">
        <f t="shared" si="5"/>
        <v>0</v>
      </c>
      <c r="I126" s="1292"/>
    </row>
    <row r="127" spans="1:9" ht="12.75">
      <c r="A127" s="1043" t="s">
        <v>736</v>
      </c>
      <c r="B127" s="1290">
        <f t="shared" si="4"/>
        <v>0</v>
      </c>
      <c r="C127" s="1140" t="str">
        <f t="shared" si="6"/>
        <v>AMMIXPACK</v>
      </c>
      <c r="D127" s="1140">
        <f t="shared" si="7"/>
        <v>1</v>
      </c>
      <c r="E127" s="1142">
        <v>120</v>
      </c>
      <c r="F127" s="1145">
        <f>'Design Data'!P53</f>
      </c>
      <c r="G127" s="1161">
        <v>0</v>
      </c>
      <c r="H127" s="1069">
        <f t="shared" si="5"/>
        <v>0</v>
      </c>
      <c r="I127" s="1292"/>
    </row>
    <row r="128" spans="1:9" ht="12.75">
      <c r="A128" s="1043" t="s">
        <v>737</v>
      </c>
      <c r="B128" s="1290">
        <f t="shared" si="4"/>
        <v>0</v>
      </c>
      <c r="C128" s="1140" t="str">
        <f t="shared" si="6"/>
        <v>AMMIXPACK</v>
      </c>
      <c r="D128" s="1140">
        <f t="shared" si="7"/>
        <v>1</v>
      </c>
      <c r="E128" s="1142">
        <v>121</v>
      </c>
      <c r="F128" s="1145">
        <f>'Design Data'!P54</f>
      </c>
      <c r="G128" s="1161">
        <v>0</v>
      </c>
      <c r="H128" s="1069">
        <f t="shared" si="5"/>
        <v>0</v>
      </c>
      <c r="I128" s="1292"/>
    </row>
    <row r="129" spans="1:9" ht="12.75">
      <c r="A129" s="1043" t="s">
        <v>738</v>
      </c>
      <c r="B129" s="1290">
        <f t="shared" si="4"/>
        <v>0</v>
      </c>
      <c r="C129" s="1140" t="str">
        <f t="shared" si="6"/>
        <v>AMMIXPACK</v>
      </c>
      <c r="D129" s="1140">
        <f t="shared" si="7"/>
        <v>1</v>
      </c>
      <c r="E129" s="1142">
        <v>122</v>
      </c>
      <c r="F129" s="1145">
        <f>'Design Data'!P55</f>
      </c>
      <c r="G129" s="1161">
        <v>0</v>
      </c>
      <c r="H129" s="1069">
        <f t="shared" si="5"/>
        <v>0</v>
      </c>
      <c r="I129" s="1292"/>
    </row>
    <row r="130" spans="1:9" ht="12.75">
      <c r="A130" s="1043" t="s">
        <v>739</v>
      </c>
      <c r="B130" s="1290">
        <f t="shared" si="4"/>
        <v>0</v>
      </c>
      <c r="C130" s="1140" t="str">
        <f t="shared" si="6"/>
        <v>AMMIXPACK</v>
      </c>
      <c r="D130" s="1140">
        <f t="shared" si="7"/>
        <v>1</v>
      </c>
      <c r="E130" s="1142">
        <v>123</v>
      </c>
      <c r="F130" s="1145">
        <f>'Design Data'!P56</f>
      </c>
      <c r="G130" s="1161">
        <v>0</v>
      </c>
      <c r="H130" s="1069">
        <f t="shared" si="5"/>
        <v>0</v>
      </c>
      <c r="I130" s="1292"/>
    </row>
    <row r="131" spans="1:9" ht="12.75">
      <c r="A131" s="1043" t="s">
        <v>740</v>
      </c>
      <c r="B131" s="1290">
        <f t="shared" si="4"/>
        <v>0</v>
      </c>
      <c r="C131" s="1140" t="str">
        <f t="shared" si="6"/>
        <v>AMMIXPACK</v>
      </c>
      <c r="D131" s="1140">
        <f t="shared" si="7"/>
        <v>1</v>
      </c>
      <c r="E131" s="1142">
        <v>124</v>
      </c>
      <c r="F131" s="1145">
        <f>'Design Data'!P57</f>
      </c>
      <c r="G131" s="1161">
        <v>0</v>
      </c>
      <c r="H131" s="1069">
        <f t="shared" si="5"/>
        <v>0</v>
      </c>
      <c r="I131" s="1292"/>
    </row>
    <row r="132" spans="1:9" ht="12.75">
      <c r="A132" s="1043" t="s">
        <v>741</v>
      </c>
      <c r="B132" s="1290">
        <f t="shared" si="4"/>
        <v>0</v>
      </c>
      <c r="C132" s="1140" t="str">
        <f t="shared" si="6"/>
        <v>AMMIXPACK</v>
      </c>
      <c r="D132" s="1140">
        <f t="shared" si="7"/>
        <v>1</v>
      </c>
      <c r="E132" s="1142">
        <v>125</v>
      </c>
      <c r="F132" s="1145">
        <f>'Design Data'!P58</f>
      </c>
      <c r="G132" s="1161">
        <v>0</v>
      </c>
      <c r="H132" s="1069">
        <f t="shared" si="5"/>
        <v>0</v>
      </c>
      <c r="I132" s="1292"/>
    </row>
    <row r="133" spans="1:9" ht="12.75">
      <c r="A133" s="1043" t="s">
        <v>1708</v>
      </c>
      <c r="B133" s="1290">
        <f t="shared" si="4"/>
        <v>0</v>
      </c>
      <c r="C133" s="1140" t="str">
        <f t="shared" si="6"/>
        <v>AMMIXPACK</v>
      </c>
      <c r="D133" s="1140">
        <f t="shared" si="7"/>
        <v>1</v>
      </c>
      <c r="E133" s="1142">
        <v>126</v>
      </c>
      <c r="F133" s="1145">
        <f>'Design Data'!P59</f>
      </c>
      <c r="G133" s="1161">
        <v>0</v>
      </c>
      <c r="H133" s="1069">
        <f t="shared" si="5"/>
        <v>0</v>
      </c>
      <c r="I133" s="1292"/>
    </row>
    <row r="134" spans="1:9" ht="12.75">
      <c r="A134" s="1043" t="s">
        <v>1709</v>
      </c>
      <c r="B134" s="1290">
        <f t="shared" si="4"/>
        <v>0</v>
      </c>
      <c r="C134" s="1140" t="str">
        <f t="shared" si="6"/>
        <v>AMMIXPACK</v>
      </c>
      <c r="D134" s="1140">
        <f t="shared" si="7"/>
        <v>1</v>
      </c>
      <c r="E134" s="1142">
        <v>127</v>
      </c>
      <c r="F134" s="1145">
        <f>'Design Data'!P60</f>
      </c>
      <c r="G134" s="1161">
        <v>0</v>
      </c>
      <c r="H134" s="1069">
        <f t="shared" si="5"/>
        <v>0</v>
      </c>
      <c r="I134" s="1292"/>
    </row>
    <row r="135" spans="1:9" ht="12.75">
      <c r="A135" s="1043" t="s">
        <v>1970</v>
      </c>
      <c r="B135" s="1290">
        <f t="shared" si="4"/>
        <v>0</v>
      </c>
      <c r="C135" s="1140" t="str">
        <f t="shared" si="6"/>
        <v>AMMIXPACK</v>
      </c>
      <c r="D135" s="1140">
        <f t="shared" si="7"/>
        <v>1</v>
      </c>
      <c r="E135" s="1142">
        <v>128</v>
      </c>
      <c r="F135" s="1145">
        <f>'Design Data'!P61</f>
      </c>
      <c r="G135" s="1161">
        <v>0</v>
      </c>
      <c r="H135" s="1069">
        <f t="shared" si="5"/>
        <v>0</v>
      </c>
      <c r="I135" s="1292"/>
    </row>
    <row r="136" spans="1:9" ht="12.75">
      <c r="A136" s="1043" t="s">
        <v>1971</v>
      </c>
      <c r="B136" s="1290">
        <f t="shared" si="4"/>
        <v>0</v>
      </c>
      <c r="C136" s="1140" t="str">
        <f t="shared" si="6"/>
        <v>AMMIXPACK</v>
      </c>
      <c r="D136" s="1140">
        <f t="shared" si="7"/>
        <v>1</v>
      </c>
      <c r="E136" s="1142">
        <v>129</v>
      </c>
      <c r="F136" s="1145">
        <f>'Design Data'!P63</f>
      </c>
      <c r="G136" s="1161">
        <v>0</v>
      </c>
      <c r="H136" s="1069">
        <f t="shared" si="5"/>
        <v>0</v>
      </c>
      <c r="I136" s="1292"/>
    </row>
    <row r="137" spans="1:9" ht="12.75">
      <c r="A137" s="1043" t="s">
        <v>1972</v>
      </c>
      <c r="B137" s="1290">
        <f aca="true" t="shared" si="8" ref="B137:B201">B136</f>
        <v>0</v>
      </c>
      <c r="C137" s="1140" t="str">
        <f t="shared" si="6"/>
        <v>AMMIXPACK</v>
      </c>
      <c r="D137" s="1140">
        <f t="shared" si="7"/>
        <v>1</v>
      </c>
      <c r="E137" s="1142">
        <v>130</v>
      </c>
      <c r="F137" s="1145">
        <f>'Design Data'!P72</f>
      </c>
      <c r="G137" s="1161">
        <v>0</v>
      </c>
      <c r="H137" s="1069">
        <f aca="true" t="shared" si="9" ref="H137:H201">H136</f>
        <v>0</v>
      </c>
      <c r="I137" s="1292"/>
    </row>
    <row r="138" spans="1:9" ht="12.75">
      <c r="A138" s="1043" t="s">
        <v>1973</v>
      </c>
      <c r="B138" s="1290">
        <f t="shared" si="8"/>
        <v>0</v>
      </c>
      <c r="C138" s="1140" t="str">
        <f aca="true" t="shared" si="10" ref="C138:C202">C137</f>
        <v>AMMIXPACK</v>
      </c>
      <c r="D138" s="1140">
        <f t="shared" si="7"/>
        <v>1</v>
      </c>
      <c r="E138" s="1142">
        <v>131</v>
      </c>
      <c r="F138" s="1145">
        <f>'Design Data'!P73</f>
      </c>
      <c r="G138" s="1161">
        <v>0</v>
      </c>
      <c r="H138" s="1069">
        <f t="shared" si="9"/>
        <v>0</v>
      </c>
      <c r="I138" s="1292"/>
    </row>
    <row r="139" spans="1:9" ht="12.75">
      <c r="A139" s="1065" t="s">
        <v>98</v>
      </c>
      <c r="B139" s="1290">
        <f t="shared" si="8"/>
        <v>0</v>
      </c>
      <c r="C139" s="1140" t="str">
        <f t="shared" si="10"/>
        <v>AMMIXPACK</v>
      </c>
      <c r="D139" s="1140">
        <f t="shared" si="7"/>
        <v>1</v>
      </c>
      <c r="E139" s="1142">
        <v>132</v>
      </c>
      <c r="F139" s="1151" t="s">
        <v>905</v>
      </c>
      <c r="G139" s="1161">
        <v>0</v>
      </c>
      <c r="H139" s="1069">
        <f t="shared" si="9"/>
        <v>0</v>
      </c>
      <c r="I139" s="1292"/>
    </row>
    <row r="140" spans="1:9" ht="12.75">
      <c r="A140" s="1043" t="s">
        <v>513</v>
      </c>
      <c r="B140" s="1290">
        <f t="shared" si="8"/>
        <v>0</v>
      </c>
      <c r="C140" s="1140" t="str">
        <f t="shared" si="10"/>
        <v>AMMIXPACK</v>
      </c>
      <c r="D140" s="1140">
        <f t="shared" si="7"/>
        <v>1</v>
      </c>
      <c r="E140" s="1142">
        <v>133</v>
      </c>
      <c r="F140" s="1145">
        <f>'Design Data'!S58</f>
      </c>
      <c r="G140" s="1161">
        <v>0</v>
      </c>
      <c r="H140" s="1069">
        <f t="shared" si="9"/>
        <v>0</v>
      </c>
      <c r="I140" s="1292"/>
    </row>
    <row r="141" spans="1:9" ht="12.75">
      <c r="A141" s="1043" t="s">
        <v>911</v>
      </c>
      <c r="B141" s="1290">
        <f t="shared" si="8"/>
        <v>0</v>
      </c>
      <c r="C141" s="1140" t="str">
        <f t="shared" si="10"/>
        <v>AMMIXPACK</v>
      </c>
      <c r="D141" s="1140">
        <f t="shared" si="7"/>
        <v>1</v>
      </c>
      <c r="E141" s="1142">
        <v>134</v>
      </c>
      <c r="F141" s="1145">
        <f>'Design Data'!T52</f>
      </c>
      <c r="G141" s="1161">
        <v>0</v>
      </c>
      <c r="H141" s="1069">
        <f t="shared" si="9"/>
        <v>0</v>
      </c>
      <c r="I141" s="1292"/>
    </row>
    <row r="142" spans="1:9" ht="12.75">
      <c r="A142" s="1043" t="s">
        <v>651</v>
      </c>
      <c r="B142" s="1290">
        <f t="shared" si="8"/>
        <v>0</v>
      </c>
      <c r="C142" s="1140" t="str">
        <f t="shared" si="10"/>
        <v>AMMIXPACK</v>
      </c>
      <c r="D142" s="1140">
        <f t="shared" si="7"/>
        <v>1</v>
      </c>
      <c r="E142" s="1142">
        <v>135</v>
      </c>
      <c r="F142" s="1145">
        <f>'Design Data'!T53</f>
      </c>
      <c r="G142" s="1161">
        <v>0</v>
      </c>
      <c r="H142" s="1069">
        <f t="shared" si="9"/>
        <v>0</v>
      </c>
      <c r="I142" s="1292"/>
    </row>
    <row r="143" spans="1:9" ht="12.75">
      <c r="A143" s="1043" t="s">
        <v>1019</v>
      </c>
      <c r="B143" s="1290">
        <f t="shared" si="8"/>
        <v>0</v>
      </c>
      <c r="C143" s="1140" t="str">
        <f t="shared" si="10"/>
        <v>AMMIXPACK</v>
      </c>
      <c r="D143" s="1140">
        <f aca="true" t="shared" si="11" ref="D143:D207">D142</f>
        <v>1</v>
      </c>
      <c r="E143" s="1142">
        <v>136</v>
      </c>
      <c r="F143" s="1145">
        <f>'Design Data'!T54</f>
      </c>
      <c r="G143" s="1161">
        <v>0</v>
      </c>
      <c r="H143" s="1069">
        <f t="shared" si="9"/>
        <v>0</v>
      </c>
      <c r="I143" s="1292"/>
    </row>
    <row r="144" spans="1:9" ht="12.75">
      <c r="A144" s="1043" t="s">
        <v>1026</v>
      </c>
      <c r="B144" s="1290">
        <f t="shared" si="8"/>
        <v>0</v>
      </c>
      <c r="C144" s="1140" t="str">
        <f t="shared" si="10"/>
        <v>AMMIXPACK</v>
      </c>
      <c r="D144" s="1140">
        <f t="shared" si="11"/>
        <v>1</v>
      </c>
      <c r="E144" s="1142">
        <v>137</v>
      </c>
      <c r="F144" s="1151" t="s">
        <v>905</v>
      </c>
      <c r="G144" s="1160">
        <f>IF('Design Data'!U55="",0,IF('Design Data'!U55="N/A",0,'Design Data'!U55))</f>
        <v>0</v>
      </c>
      <c r="H144" s="1069">
        <f t="shared" si="9"/>
        <v>0</v>
      </c>
      <c r="I144" s="1292"/>
    </row>
    <row r="145" spans="1:9" ht="12.75">
      <c r="A145" s="1043" t="s">
        <v>652</v>
      </c>
      <c r="B145" s="1290">
        <f t="shared" si="8"/>
        <v>0</v>
      </c>
      <c r="C145" s="1140" t="str">
        <f t="shared" si="10"/>
        <v>AMMIXPACK</v>
      </c>
      <c r="D145" s="1140">
        <f t="shared" si="11"/>
        <v>1</v>
      </c>
      <c r="E145" s="1142">
        <v>138</v>
      </c>
      <c r="F145" s="1145">
        <f>'Design Data'!U56</f>
      </c>
      <c r="G145" s="1161">
        <v>0</v>
      </c>
      <c r="H145" s="1069">
        <f t="shared" si="9"/>
        <v>0</v>
      </c>
      <c r="I145" s="1292"/>
    </row>
    <row r="146" spans="1:9" ht="12.75">
      <c r="A146" s="1043" t="s">
        <v>1029</v>
      </c>
      <c r="B146" s="1290">
        <f t="shared" si="8"/>
        <v>0</v>
      </c>
      <c r="C146" s="1140" t="str">
        <f t="shared" si="10"/>
        <v>AMMIXPACK</v>
      </c>
      <c r="D146" s="1140">
        <f t="shared" si="11"/>
        <v>1</v>
      </c>
      <c r="E146" s="1142">
        <v>139</v>
      </c>
      <c r="F146" s="1145">
        <f>'Design Data'!U57</f>
      </c>
      <c r="G146" s="1161">
        <v>0</v>
      </c>
      <c r="H146" s="1069">
        <f t="shared" si="9"/>
        <v>0</v>
      </c>
      <c r="I146" s="1292"/>
    </row>
    <row r="147" spans="1:9" ht="12.75">
      <c r="A147" s="1065" t="s">
        <v>97</v>
      </c>
      <c r="B147" s="1290">
        <f t="shared" si="8"/>
        <v>0</v>
      </c>
      <c r="C147" s="1140" t="str">
        <f t="shared" si="10"/>
        <v>AMMIXPACK</v>
      </c>
      <c r="D147" s="1140">
        <f t="shared" si="11"/>
        <v>1</v>
      </c>
      <c r="E147" s="1142">
        <v>140</v>
      </c>
      <c r="F147" s="1151" t="s">
        <v>905</v>
      </c>
      <c r="G147" s="1161">
        <v>0</v>
      </c>
      <c r="H147" s="1069">
        <f t="shared" si="9"/>
        <v>0</v>
      </c>
      <c r="I147" s="1292"/>
    </row>
    <row r="148" spans="1:9" ht="12.75">
      <c r="A148" s="1043" t="s">
        <v>654</v>
      </c>
      <c r="B148" s="1290">
        <f t="shared" si="8"/>
        <v>0</v>
      </c>
      <c r="C148" s="1140" t="str">
        <f t="shared" si="10"/>
        <v>AMMIXPACK</v>
      </c>
      <c r="D148" s="1140">
        <f t="shared" si="11"/>
        <v>1</v>
      </c>
      <c r="E148" s="1142">
        <v>141</v>
      </c>
      <c r="F148" s="1151"/>
      <c r="G148" s="1069">
        <f>IF('Design Data'!U77="",0,ROUND('Design Data'!U77,1))</f>
        <v>0</v>
      </c>
      <c r="H148" s="1069">
        <f t="shared" si="9"/>
        <v>0</v>
      </c>
      <c r="I148" s="1292"/>
    </row>
    <row r="149" spans="1:9" ht="12.75">
      <c r="A149" s="1043" t="s">
        <v>655</v>
      </c>
      <c r="B149" s="1290">
        <f t="shared" si="8"/>
        <v>0</v>
      </c>
      <c r="C149" s="1140" t="str">
        <f t="shared" si="10"/>
        <v>AMMIXPACK</v>
      </c>
      <c r="D149" s="1140">
        <f t="shared" si="11"/>
        <v>1</v>
      </c>
      <c r="E149" s="1142">
        <v>142</v>
      </c>
      <c r="F149" s="1151"/>
      <c r="G149" s="1069">
        <f>IF('Design Data'!U78="",0,ROUND('Design Data'!U78,1))</f>
        <v>0</v>
      </c>
      <c r="H149" s="1069">
        <f t="shared" si="9"/>
        <v>0</v>
      </c>
      <c r="I149" s="1292"/>
    </row>
    <row r="150" spans="1:9" ht="12.75">
      <c r="A150" s="1043" t="s">
        <v>656</v>
      </c>
      <c r="B150" s="1290">
        <f t="shared" si="8"/>
        <v>0</v>
      </c>
      <c r="C150" s="1140" t="str">
        <f t="shared" si="10"/>
        <v>AMMIXPACK</v>
      </c>
      <c r="D150" s="1140">
        <f t="shared" si="11"/>
        <v>1</v>
      </c>
      <c r="E150" s="1142">
        <v>143</v>
      </c>
      <c r="F150" s="1151"/>
      <c r="G150" s="1069">
        <f>IF('Design Data'!U79="",0,ROUND('Design Data'!U79,1))</f>
        <v>0</v>
      </c>
      <c r="H150" s="1069">
        <f t="shared" si="9"/>
        <v>0</v>
      </c>
      <c r="I150" s="1292"/>
    </row>
    <row r="151" spans="1:9" ht="12.75">
      <c r="A151" s="1043" t="s">
        <v>657</v>
      </c>
      <c r="B151" s="1290">
        <f t="shared" si="8"/>
        <v>0</v>
      </c>
      <c r="C151" s="1140" t="str">
        <f t="shared" si="10"/>
        <v>AMMIXPACK</v>
      </c>
      <c r="D151" s="1140">
        <f t="shared" si="11"/>
        <v>1</v>
      </c>
      <c r="E151" s="1142">
        <v>144</v>
      </c>
      <c r="F151" s="1151"/>
      <c r="G151" s="1069">
        <f>IF('Design Data'!U80="",0,ROUND('Design Data'!U80,1))</f>
        <v>0</v>
      </c>
      <c r="H151" s="1069">
        <f t="shared" si="9"/>
        <v>0</v>
      </c>
      <c r="I151" s="1292"/>
    </row>
    <row r="152" spans="1:9" ht="12.75">
      <c r="A152" s="1043" t="s">
        <v>658</v>
      </c>
      <c r="B152" s="1290">
        <f t="shared" si="8"/>
        <v>0</v>
      </c>
      <c r="C152" s="1140" t="str">
        <f t="shared" si="10"/>
        <v>AMMIXPACK</v>
      </c>
      <c r="D152" s="1140">
        <f t="shared" si="11"/>
        <v>1</v>
      </c>
      <c r="E152" s="1142">
        <v>145</v>
      </c>
      <c r="F152" s="1145">
        <f>IF('Design Data'!N27="","",'Design Data'!N27)</f>
      </c>
      <c r="G152" s="1161">
        <v>0</v>
      </c>
      <c r="H152" s="1069">
        <f t="shared" si="9"/>
        <v>0</v>
      </c>
      <c r="I152" s="1292"/>
    </row>
    <row r="153" spans="1:9" ht="12.75">
      <c r="A153" s="1056" t="s">
        <v>915</v>
      </c>
      <c r="B153" s="1290">
        <f aca="true" t="shared" si="12" ref="B153:D154">B151</f>
        <v>0</v>
      </c>
      <c r="C153" s="1140" t="str">
        <f t="shared" si="12"/>
        <v>AMMIXPACK</v>
      </c>
      <c r="D153" s="1140">
        <f t="shared" si="12"/>
        <v>1</v>
      </c>
      <c r="E153" s="1142">
        <v>254</v>
      </c>
      <c r="F153" s="1145">
        <f>IF('Design Data'!N28="","",'Design Data'!N28)</f>
      </c>
      <c r="G153" s="1161">
        <v>0</v>
      </c>
      <c r="H153" s="1069">
        <f>H151</f>
        <v>0</v>
      </c>
      <c r="I153" s="1292"/>
    </row>
    <row r="154" spans="1:9" ht="12.75">
      <c r="A154" s="1043" t="s">
        <v>1975</v>
      </c>
      <c r="B154" s="1290">
        <f t="shared" si="12"/>
        <v>0</v>
      </c>
      <c r="C154" s="1140" t="str">
        <f t="shared" si="12"/>
        <v>AMMIXPACK</v>
      </c>
      <c r="D154" s="1140">
        <f t="shared" si="12"/>
        <v>1</v>
      </c>
      <c r="E154" s="1142">
        <v>146</v>
      </c>
      <c r="F154" s="1145">
        <f>IF('Design Data'!O27="","",'Design Data'!O27)</f>
      </c>
      <c r="G154" s="1161">
        <v>0</v>
      </c>
      <c r="H154" s="1069">
        <f>H152</f>
        <v>0</v>
      </c>
      <c r="I154" s="1292"/>
    </row>
    <row r="155" spans="1:9" ht="12.75">
      <c r="A155" s="1043" t="s">
        <v>503</v>
      </c>
      <c r="B155" s="1290">
        <f t="shared" si="8"/>
        <v>0</v>
      </c>
      <c r="C155" s="1140" t="str">
        <f t="shared" si="10"/>
        <v>AMMIXPACK</v>
      </c>
      <c r="D155" s="1140">
        <f t="shared" si="11"/>
        <v>1</v>
      </c>
      <c r="E155" s="1142">
        <v>147</v>
      </c>
      <c r="F155" s="1151"/>
      <c r="G155" s="1069">
        <f>IF('Design Data'!O28="",0,ROUND('Design Data'!O28,2))</f>
        <v>0</v>
      </c>
      <c r="H155" s="1069">
        <f t="shared" si="9"/>
        <v>0</v>
      </c>
      <c r="I155" s="1292"/>
    </row>
    <row r="156" spans="1:9" ht="12.75">
      <c r="A156" s="1065" t="s">
        <v>1950</v>
      </c>
      <c r="B156" s="1290">
        <f t="shared" si="8"/>
        <v>0</v>
      </c>
      <c r="C156" s="1140" t="str">
        <f t="shared" si="10"/>
        <v>AMMIXPACK</v>
      </c>
      <c r="D156" s="1140">
        <f t="shared" si="11"/>
        <v>1</v>
      </c>
      <c r="E156" s="1142">
        <v>148</v>
      </c>
      <c r="F156" s="1151" t="s">
        <v>905</v>
      </c>
      <c r="G156" s="1161">
        <v>0</v>
      </c>
      <c r="H156" s="1069">
        <f t="shared" si="9"/>
        <v>0</v>
      </c>
      <c r="I156" s="1292"/>
    </row>
    <row r="157" spans="1:9" ht="12.75">
      <c r="A157" s="1043" t="s">
        <v>2</v>
      </c>
      <c r="B157" s="1290">
        <f t="shared" si="8"/>
        <v>0</v>
      </c>
      <c r="C157" s="1140" t="str">
        <f t="shared" si="10"/>
        <v>AMMIXPACK</v>
      </c>
      <c r="D157" s="1140">
        <f t="shared" si="11"/>
        <v>1</v>
      </c>
      <c r="E157" s="1142">
        <v>149</v>
      </c>
      <c r="F157" s="1145">
        <f>IF('Design Data'!N79="","",'Design Data'!N79)</f>
      </c>
      <c r="G157" s="1161">
        <v>0</v>
      </c>
      <c r="H157" s="1069">
        <f t="shared" si="9"/>
        <v>0</v>
      </c>
      <c r="I157" s="1292"/>
    </row>
    <row r="158" spans="1:9" ht="12.75">
      <c r="A158" s="1043" t="s">
        <v>1049</v>
      </c>
      <c r="B158" s="1290">
        <f t="shared" si="8"/>
        <v>0</v>
      </c>
      <c r="C158" s="1140" t="str">
        <f t="shared" si="10"/>
        <v>AMMIXPACK</v>
      </c>
      <c r="D158" s="1140">
        <f t="shared" si="11"/>
        <v>1</v>
      </c>
      <c r="E158" s="1142">
        <v>150</v>
      </c>
      <c r="F158" s="1145">
        <f>IF('Design Data'!N80="","",'Design Data'!N80)</f>
      </c>
      <c r="G158" s="1161">
        <v>0</v>
      </c>
      <c r="H158" s="1069">
        <f t="shared" si="9"/>
        <v>0</v>
      </c>
      <c r="I158" s="1292"/>
    </row>
    <row r="159" spans="1:9" ht="12.75">
      <c r="A159" s="1043" t="s">
        <v>1051</v>
      </c>
      <c r="B159" s="1290">
        <f t="shared" si="8"/>
        <v>0</v>
      </c>
      <c r="C159" s="1140" t="str">
        <f t="shared" si="10"/>
        <v>AMMIXPACK</v>
      </c>
      <c r="D159" s="1140">
        <f t="shared" si="11"/>
        <v>1</v>
      </c>
      <c r="E159" s="1142">
        <v>151</v>
      </c>
      <c r="F159" s="1145">
        <f>IF('Design Data'!N81="","",'Design Data'!N81)</f>
      </c>
      <c r="G159" s="1161">
        <v>0</v>
      </c>
      <c r="H159" s="1069">
        <f t="shared" si="9"/>
        <v>0</v>
      </c>
      <c r="I159" s="1292"/>
    </row>
    <row r="160" spans="1:9" ht="12.75">
      <c r="A160" s="1043" t="s">
        <v>660</v>
      </c>
      <c r="B160" s="1290">
        <f t="shared" si="8"/>
        <v>0</v>
      </c>
      <c r="C160" s="1140" t="str">
        <f t="shared" si="10"/>
        <v>AMMIXPACK</v>
      </c>
      <c r="D160" s="1140">
        <f t="shared" si="11"/>
        <v>1</v>
      </c>
      <c r="E160" s="1142">
        <v>152</v>
      </c>
      <c r="F160" s="1145">
        <f>IF('Design Data'!Q79="","",'Design Data'!Q79)</f>
      </c>
      <c r="G160" s="1161">
        <v>0</v>
      </c>
      <c r="H160" s="1069">
        <f t="shared" si="9"/>
        <v>0</v>
      </c>
      <c r="I160" s="1292"/>
    </row>
    <row r="161" spans="1:9" ht="12.75">
      <c r="A161" s="1043" t="s">
        <v>1050</v>
      </c>
      <c r="B161" s="1290">
        <f t="shared" si="8"/>
        <v>0</v>
      </c>
      <c r="C161" s="1140" t="str">
        <f t="shared" si="10"/>
        <v>AMMIXPACK</v>
      </c>
      <c r="D161" s="1140">
        <f t="shared" si="11"/>
        <v>1</v>
      </c>
      <c r="E161" s="1142">
        <v>153</v>
      </c>
      <c r="F161" s="1145">
        <f>IF('Design Data'!Q80="","",'Design Data'!Q80)</f>
      </c>
      <c r="G161" s="1161">
        <v>0</v>
      </c>
      <c r="H161" s="1069">
        <f t="shared" si="9"/>
        <v>0</v>
      </c>
      <c r="I161" s="1292"/>
    </row>
    <row r="162" spans="1:9" ht="12.75">
      <c r="A162" s="1043" t="s">
        <v>1052</v>
      </c>
      <c r="B162" s="1290">
        <f t="shared" si="8"/>
        <v>0</v>
      </c>
      <c r="C162" s="1140" t="str">
        <f t="shared" si="10"/>
        <v>AMMIXPACK</v>
      </c>
      <c r="D162" s="1140">
        <f t="shared" si="11"/>
        <v>1</v>
      </c>
      <c r="E162" s="1142">
        <v>154</v>
      </c>
      <c r="F162" s="1145">
        <f>IF('Design Data'!Q81="","",'Design Data'!Q81)</f>
      </c>
      <c r="G162" s="1161">
        <v>0</v>
      </c>
      <c r="H162" s="1069">
        <f t="shared" si="9"/>
        <v>0</v>
      </c>
      <c r="I162" s="1292"/>
    </row>
    <row r="163" spans="1:9" ht="12.75">
      <c r="A163" s="1043" t="s">
        <v>659</v>
      </c>
      <c r="B163" s="1290">
        <f t="shared" si="8"/>
        <v>0</v>
      </c>
      <c r="C163" s="1140" t="str">
        <f t="shared" si="10"/>
        <v>AMMIXPACK</v>
      </c>
      <c r="D163" s="1140">
        <f t="shared" si="11"/>
        <v>1</v>
      </c>
      <c r="E163" s="1142">
        <v>155</v>
      </c>
      <c r="F163" s="1145">
        <f>IF('Design Data'!Q82="","",'Design Data'!Q82)</f>
      </c>
      <c r="G163" s="1161">
        <v>0</v>
      </c>
      <c r="H163" s="1069">
        <f t="shared" si="9"/>
        <v>0</v>
      </c>
      <c r="I163" s="1292"/>
    </row>
    <row r="164" spans="1:9" ht="12.75">
      <c r="A164" s="1065" t="s">
        <v>1949</v>
      </c>
      <c r="B164" s="1290">
        <f t="shared" si="8"/>
        <v>0</v>
      </c>
      <c r="C164" s="1140" t="str">
        <f t="shared" si="10"/>
        <v>AMMIXPACK</v>
      </c>
      <c r="D164" s="1140">
        <f t="shared" si="11"/>
        <v>1</v>
      </c>
      <c r="E164" s="1142">
        <v>156</v>
      </c>
      <c r="F164" s="1151" t="s">
        <v>905</v>
      </c>
      <c r="G164" s="1161">
        <v>0</v>
      </c>
      <c r="H164" s="1069">
        <f t="shared" si="9"/>
        <v>0</v>
      </c>
      <c r="I164" s="1292"/>
    </row>
    <row r="165" spans="1:9" ht="12.75">
      <c r="A165" s="1043" t="s">
        <v>661</v>
      </c>
      <c r="B165" s="1290">
        <f t="shared" si="8"/>
        <v>0</v>
      </c>
      <c r="C165" s="1140" t="str">
        <f t="shared" si="10"/>
        <v>AMMIXPACK</v>
      </c>
      <c r="D165" s="1140">
        <f t="shared" si="11"/>
        <v>1</v>
      </c>
      <c r="E165" s="1142">
        <v>157</v>
      </c>
      <c r="F165" s="1151"/>
      <c r="G165" s="1069">
        <f>IF(TSR!G18="",0,ROUND(TSR!G18,1))</f>
        <v>0</v>
      </c>
      <c r="H165" s="1069">
        <f t="shared" si="9"/>
        <v>0</v>
      </c>
      <c r="I165" s="1292"/>
    </row>
    <row r="166" spans="1:9" ht="12.75">
      <c r="A166" s="1043" t="s">
        <v>1264</v>
      </c>
      <c r="B166" s="1290">
        <f t="shared" si="8"/>
        <v>0</v>
      </c>
      <c r="C166" s="1140" t="str">
        <f t="shared" si="10"/>
        <v>AMMIXPACK</v>
      </c>
      <c r="D166" s="1140">
        <f t="shared" si="11"/>
        <v>1</v>
      </c>
      <c r="E166" s="1142">
        <v>158</v>
      </c>
      <c r="F166" s="1145">
        <f>IF(TSR!H18="","",TSR!H18)</f>
      </c>
      <c r="G166" s="1161">
        <v>0</v>
      </c>
      <c r="H166" s="1069">
        <f t="shared" si="9"/>
        <v>0</v>
      </c>
      <c r="I166" s="1292"/>
    </row>
    <row r="167" spans="1:9" ht="12.75">
      <c r="A167" s="1043" t="s">
        <v>1267</v>
      </c>
      <c r="B167" s="1290">
        <f t="shared" si="8"/>
        <v>0</v>
      </c>
      <c r="C167" s="1140" t="str">
        <f t="shared" si="10"/>
        <v>AMMIXPACK</v>
      </c>
      <c r="D167" s="1140">
        <f t="shared" si="11"/>
        <v>1</v>
      </c>
      <c r="E167" s="1142">
        <v>159</v>
      </c>
      <c r="F167" s="1149">
        <f>IF(TSR!G20="","",TSR!G20)</f>
      </c>
      <c r="G167" s="1161">
        <v>0</v>
      </c>
      <c r="H167" s="1069">
        <f t="shared" si="9"/>
        <v>0</v>
      </c>
      <c r="I167" s="1292"/>
    </row>
    <row r="168" spans="1:9" ht="12.75">
      <c r="A168" s="1043" t="s">
        <v>12</v>
      </c>
      <c r="B168" s="1290">
        <f t="shared" si="8"/>
        <v>0</v>
      </c>
      <c r="C168" s="1140" t="str">
        <f t="shared" si="10"/>
        <v>AMMIXPACK</v>
      </c>
      <c r="D168" s="1140">
        <f t="shared" si="11"/>
        <v>1</v>
      </c>
      <c r="E168" s="1142">
        <v>160</v>
      </c>
      <c r="F168" s="1151"/>
      <c r="G168" s="1069">
        <f>IF(TSR!H39="",0,ROUND(TSR!H39,1))</f>
        <v>0</v>
      </c>
      <c r="H168" s="1069">
        <f t="shared" si="9"/>
        <v>0</v>
      </c>
      <c r="I168" s="1292"/>
    </row>
    <row r="169" spans="1:9" ht="12.75">
      <c r="A169" s="1043" t="s">
        <v>11</v>
      </c>
      <c r="B169" s="1290">
        <f t="shared" si="8"/>
        <v>0</v>
      </c>
      <c r="C169" s="1140" t="str">
        <f t="shared" si="10"/>
        <v>AMMIXPACK</v>
      </c>
      <c r="D169" s="1140">
        <f t="shared" si="11"/>
        <v>1</v>
      </c>
      <c r="E169" s="1142">
        <v>161</v>
      </c>
      <c r="F169" s="1151"/>
      <c r="G169" s="1069">
        <f>IF(TSR!H46="",0,ROUND(TSR!H46,1))</f>
        <v>0</v>
      </c>
      <c r="H169" s="1069">
        <f t="shared" si="9"/>
        <v>0</v>
      </c>
      <c r="I169" s="1292"/>
    </row>
    <row r="170" spans="1:9" ht="12.75">
      <c r="A170" s="1043" t="s">
        <v>10</v>
      </c>
      <c r="B170" s="1290">
        <f t="shared" si="8"/>
        <v>0</v>
      </c>
      <c r="C170" s="1140" t="str">
        <f t="shared" si="10"/>
        <v>AMMIXPACK</v>
      </c>
      <c r="D170" s="1140">
        <f t="shared" si="11"/>
        <v>1</v>
      </c>
      <c r="E170" s="1142">
        <v>162</v>
      </c>
      <c r="F170" s="1151"/>
      <c r="G170" s="1069">
        <f>IF(TSR!H52="",0,ROUND(TSR!H52,1))</f>
        <v>0</v>
      </c>
      <c r="H170" s="1069">
        <f t="shared" si="9"/>
        <v>0</v>
      </c>
      <c r="I170" s="1292"/>
    </row>
    <row r="171" spans="1:9" ht="12.75">
      <c r="A171" s="1043" t="s">
        <v>9</v>
      </c>
      <c r="B171" s="1290">
        <f t="shared" si="8"/>
        <v>0</v>
      </c>
      <c r="C171" s="1140" t="str">
        <f t="shared" si="10"/>
        <v>AMMIXPACK</v>
      </c>
      <c r="D171" s="1140">
        <f t="shared" si="11"/>
        <v>1</v>
      </c>
      <c r="E171" s="1142">
        <v>163</v>
      </c>
      <c r="F171" s="1151"/>
      <c r="G171" s="1069">
        <f>IF(TSR!H54="",0,ROUND(TSR!H54,1))</f>
        <v>0</v>
      </c>
      <c r="H171" s="1069">
        <f t="shared" si="9"/>
        <v>0</v>
      </c>
      <c r="I171" s="1292"/>
    </row>
    <row r="172" spans="1:9" ht="12.75">
      <c r="A172" s="1043" t="s">
        <v>8</v>
      </c>
      <c r="B172" s="1290">
        <f t="shared" si="8"/>
        <v>0</v>
      </c>
      <c r="C172" s="1140" t="str">
        <f t="shared" si="10"/>
        <v>AMMIXPACK</v>
      </c>
      <c r="D172" s="1140">
        <f t="shared" si="11"/>
        <v>1</v>
      </c>
      <c r="E172" s="1142">
        <v>164</v>
      </c>
      <c r="F172" s="1151"/>
      <c r="G172" s="1069">
        <f>IF(TSR!H55="",0,ROUND(TSR!H55,1))</f>
        <v>0</v>
      </c>
      <c r="H172" s="1069">
        <f t="shared" si="9"/>
        <v>0</v>
      </c>
      <c r="I172" s="1292"/>
    </row>
    <row r="173" spans="1:9" ht="12.75">
      <c r="A173" s="1043" t="s">
        <v>350</v>
      </c>
      <c r="B173" s="1290">
        <f t="shared" si="8"/>
        <v>0</v>
      </c>
      <c r="C173" s="1140" t="str">
        <f t="shared" si="10"/>
        <v>AMMIXPACK</v>
      </c>
      <c r="D173" s="1140">
        <f t="shared" si="11"/>
        <v>1</v>
      </c>
      <c r="E173" s="1142">
        <v>165</v>
      </c>
      <c r="F173" s="1151"/>
      <c r="G173" s="1220">
        <f>IF(TSR!G57="",0,ROUND(TSR!G57,0))</f>
        <v>0</v>
      </c>
      <c r="H173" s="1069">
        <f t="shared" si="9"/>
        <v>0</v>
      </c>
      <c r="I173" s="1292"/>
    </row>
    <row r="174" spans="1:9" ht="12.75">
      <c r="A174" s="1043" t="s">
        <v>345</v>
      </c>
      <c r="B174" s="1290">
        <f t="shared" si="8"/>
        <v>0</v>
      </c>
      <c r="C174" s="1140" t="str">
        <f t="shared" si="10"/>
        <v>AMMIXPACK</v>
      </c>
      <c r="D174" s="1140">
        <f t="shared" si="11"/>
        <v>1</v>
      </c>
      <c r="E174" s="1142">
        <v>166</v>
      </c>
      <c r="F174" s="1151"/>
      <c r="G174" s="1069">
        <f>IF(TSR!O39="",0,ROUND(TSR!O39,1))</f>
        <v>0</v>
      </c>
      <c r="H174" s="1069">
        <f t="shared" si="9"/>
        <v>0</v>
      </c>
      <c r="I174" s="1292"/>
    </row>
    <row r="175" spans="1:9" ht="12.75">
      <c r="A175" s="1043" t="s">
        <v>346</v>
      </c>
      <c r="B175" s="1290">
        <f t="shared" si="8"/>
        <v>0</v>
      </c>
      <c r="C175" s="1140" t="str">
        <f t="shared" si="10"/>
        <v>AMMIXPACK</v>
      </c>
      <c r="D175" s="1140">
        <f t="shared" si="11"/>
        <v>1</v>
      </c>
      <c r="E175" s="1142">
        <v>167</v>
      </c>
      <c r="F175" s="1151"/>
      <c r="G175" s="1069">
        <f>IF(TSR!O46="",0,ROUND(TSR!O46,1))</f>
        <v>0</v>
      </c>
      <c r="H175" s="1069">
        <f t="shared" si="9"/>
        <v>0</v>
      </c>
      <c r="I175" s="1292"/>
    </row>
    <row r="176" spans="1:9" ht="12.75">
      <c r="A176" s="1043" t="s">
        <v>347</v>
      </c>
      <c r="B176" s="1290">
        <f t="shared" si="8"/>
        <v>0</v>
      </c>
      <c r="C176" s="1140" t="str">
        <f t="shared" si="10"/>
        <v>AMMIXPACK</v>
      </c>
      <c r="D176" s="1140">
        <f t="shared" si="11"/>
        <v>1</v>
      </c>
      <c r="E176" s="1142">
        <v>168</v>
      </c>
      <c r="F176" s="1151"/>
      <c r="G176" s="1069">
        <f>IF(TSR!O52="",0,ROUND(TSR!O52,1))</f>
        <v>0</v>
      </c>
      <c r="H176" s="1069">
        <f t="shared" si="9"/>
        <v>0</v>
      </c>
      <c r="I176" s="1292"/>
    </row>
    <row r="177" spans="1:9" ht="12.75">
      <c r="A177" s="1043" t="s">
        <v>348</v>
      </c>
      <c r="B177" s="1290">
        <f t="shared" si="8"/>
        <v>0</v>
      </c>
      <c r="C177" s="1140" t="str">
        <f t="shared" si="10"/>
        <v>AMMIXPACK</v>
      </c>
      <c r="D177" s="1140">
        <f t="shared" si="11"/>
        <v>1</v>
      </c>
      <c r="E177" s="1142">
        <v>169</v>
      </c>
      <c r="F177" s="1151"/>
      <c r="G177" s="1069">
        <f>IF(TSR!O54="",0,ROUND(TSR!O54,1))</f>
        <v>0</v>
      </c>
      <c r="H177" s="1069">
        <f t="shared" si="9"/>
        <v>0</v>
      </c>
      <c r="I177" s="1292"/>
    </row>
    <row r="178" spans="1:9" ht="12.75">
      <c r="A178" s="1043" t="s">
        <v>349</v>
      </c>
      <c r="B178" s="1290">
        <f t="shared" si="8"/>
        <v>0</v>
      </c>
      <c r="C178" s="1140" t="str">
        <f t="shared" si="10"/>
        <v>AMMIXPACK</v>
      </c>
      <c r="D178" s="1140">
        <f t="shared" si="11"/>
        <v>1</v>
      </c>
      <c r="E178" s="1142">
        <v>170</v>
      </c>
      <c r="F178" s="1151"/>
      <c r="G178" s="1069">
        <f>IF(TSR!O55="",0,ROUND(TSR!O55,1))</f>
        <v>0</v>
      </c>
      <c r="H178" s="1069">
        <f t="shared" si="9"/>
        <v>0</v>
      </c>
      <c r="I178" s="1292"/>
    </row>
    <row r="179" spans="1:9" ht="12.75">
      <c r="A179" s="1043" t="s">
        <v>351</v>
      </c>
      <c r="B179" s="1290">
        <f t="shared" si="8"/>
        <v>0</v>
      </c>
      <c r="C179" s="1140" t="str">
        <f t="shared" si="10"/>
        <v>AMMIXPACK</v>
      </c>
      <c r="D179" s="1140">
        <f t="shared" si="11"/>
        <v>1</v>
      </c>
      <c r="E179" s="1142">
        <v>171</v>
      </c>
      <c r="F179" s="1151"/>
      <c r="G179" s="1220">
        <f>IF(TSR!N57="",0,ROUND(TSR!N57,0))</f>
        <v>0</v>
      </c>
      <c r="H179" s="1069">
        <f t="shared" si="9"/>
        <v>0</v>
      </c>
      <c r="I179" s="1292"/>
    </row>
    <row r="180" spans="1:9" ht="12.75">
      <c r="A180" s="1065" t="s">
        <v>1948</v>
      </c>
      <c r="B180" s="1290">
        <f t="shared" si="8"/>
        <v>0</v>
      </c>
      <c r="C180" s="1140" t="str">
        <f t="shared" si="10"/>
        <v>AMMIXPACK</v>
      </c>
      <c r="D180" s="1140">
        <f t="shared" si="11"/>
        <v>1</v>
      </c>
      <c r="E180" s="1142">
        <v>172</v>
      </c>
      <c r="F180" s="1151" t="s">
        <v>905</v>
      </c>
      <c r="G180" s="1161">
        <v>0</v>
      </c>
      <c r="H180" s="1069">
        <f t="shared" si="9"/>
        <v>0</v>
      </c>
      <c r="I180" s="1292"/>
    </row>
    <row r="181" spans="1:9" ht="12.75">
      <c r="A181" s="1043" t="s">
        <v>942</v>
      </c>
      <c r="B181" s="1290">
        <f t="shared" si="8"/>
        <v>0</v>
      </c>
      <c r="C181" s="1140" t="str">
        <f t="shared" si="10"/>
        <v>AMMIXPACK</v>
      </c>
      <c r="D181" s="1140">
        <f t="shared" si="11"/>
        <v>1</v>
      </c>
      <c r="E181" s="1142">
        <v>173</v>
      </c>
      <c r="F181" s="1145">
        <f>IF('Design Data'!A23="","",'Design Data'!A23)</f>
      </c>
      <c r="G181" s="1161">
        <v>0</v>
      </c>
      <c r="H181" s="1069">
        <f t="shared" si="9"/>
        <v>0</v>
      </c>
      <c r="I181" s="1292"/>
    </row>
    <row r="182" spans="1:9" ht="12.75">
      <c r="A182" s="1043" t="s">
        <v>1978</v>
      </c>
      <c r="B182" s="1290">
        <f t="shared" si="8"/>
        <v>0</v>
      </c>
      <c r="C182" s="1140" t="str">
        <f t="shared" si="10"/>
        <v>AMMIXPACK</v>
      </c>
      <c r="D182" s="1140">
        <f t="shared" si="11"/>
        <v>1</v>
      </c>
      <c r="E182" s="1142">
        <v>174</v>
      </c>
      <c r="F182" s="1145">
        <f>IF('Design Data'!A24="","",'Design Data'!A24)</f>
      </c>
      <c r="G182" s="1161">
        <v>0</v>
      </c>
      <c r="H182" s="1069">
        <f t="shared" si="9"/>
        <v>0</v>
      </c>
      <c r="I182" s="1292"/>
    </row>
    <row r="183" spans="1:9" ht="12.75">
      <c r="A183" s="1043" t="s">
        <v>1979</v>
      </c>
      <c r="B183" s="1290">
        <f t="shared" si="8"/>
        <v>0</v>
      </c>
      <c r="C183" s="1140" t="str">
        <f t="shared" si="10"/>
        <v>AMMIXPACK</v>
      </c>
      <c r="D183" s="1140">
        <f t="shared" si="11"/>
        <v>1</v>
      </c>
      <c r="E183" s="1142">
        <v>175</v>
      </c>
      <c r="F183" s="1145">
        <f>IF('Design Data'!A25="","",'Design Data'!A25)</f>
      </c>
      <c r="G183" s="1161">
        <v>0</v>
      </c>
      <c r="H183" s="1069">
        <f t="shared" si="9"/>
        <v>0</v>
      </c>
      <c r="I183" s="1292"/>
    </row>
    <row r="184" spans="1:9" ht="12.75">
      <c r="A184" s="1043" t="s">
        <v>1980</v>
      </c>
      <c r="B184" s="1290">
        <f t="shared" si="8"/>
        <v>0</v>
      </c>
      <c r="C184" s="1140" t="str">
        <f t="shared" si="10"/>
        <v>AMMIXPACK</v>
      </c>
      <c r="D184" s="1140">
        <f t="shared" si="11"/>
        <v>1</v>
      </c>
      <c r="E184" s="1142">
        <v>176</v>
      </c>
      <c r="F184" s="1145">
        <f>IF('Design Data'!A26="","",'Design Data'!A26)</f>
      </c>
      <c r="G184" s="1161">
        <v>0</v>
      </c>
      <c r="H184" s="1069">
        <f t="shared" si="9"/>
        <v>0</v>
      </c>
      <c r="I184" s="1292"/>
    </row>
    <row r="185" spans="1:9" ht="12.75">
      <c r="A185" s="1043" t="s">
        <v>1981</v>
      </c>
      <c r="B185" s="1290">
        <f t="shared" si="8"/>
        <v>0</v>
      </c>
      <c r="C185" s="1140" t="str">
        <f t="shared" si="10"/>
        <v>AMMIXPACK</v>
      </c>
      <c r="D185" s="1140">
        <f t="shared" si="11"/>
        <v>1</v>
      </c>
      <c r="E185" s="1142">
        <v>177</v>
      </c>
      <c r="F185" s="1145">
        <f>IF('Design Data'!A27="","",'Design Data'!A27)</f>
      </c>
      <c r="G185" s="1161">
        <v>0</v>
      </c>
      <c r="H185" s="1069">
        <f t="shared" si="9"/>
        <v>0</v>
      </c>
      <c r="I185" s="1292"/>
    </row>
    <row r="186" spans="1:9" ht="12.75">
      <c r="A186" s="1043" t="s">
        <v>1982</v>
      </c>
      <c r="B186" s="1290">
        <f t="shared" si="8"/>
        <v>0</v>
      </c>
      <c r="C186" s="1140" t="str">
        <f t="shared" si="10"/>
        <v>AMMIXPACK</v>
      </c>
      <c r="D186" s="1140">
        <f t="shared" si="11"/>
        <v>1</v>
      </c>
      <c r="E186" s="1142">
        <v>178</v>
      </c>
      <c r="F186" s="1145">
        <f>IF('Design Data'!A28="","",'Design Data'!A28)</f>
      </c>
      <c r="G186" s="1161">
        <v>0</v>
      </c>
      <c r="H186" s="1069">
        <f t="shared" si="9"/>
        <v>0</v>
      </c>
      <c r="I186" s="1292"/>
    </row>
    <row r="187" spans="1:9" ht="12.75">
      <c r="A187" s="1043" t="s">
        <v>943</v>
      </c>
      <c r="B187" s="1290">
        <f t="shared" si="8"/>
        <v>0</v>
      </c>
      <c r="C187" s="1140" t="str">
        <f t="shared" si="10"/>
        <v>AMMIXPACK</v>
      </c>
      <c r="D187" s="1140">
        <f t="shared" si="11"/>
        <v>1</v>
      </c>
      <c r="E187" s="1142">
        <v>179</v>
      </c>
      <c r="F187" s="1145">
        <f>IF('Design Data'!C23="","",'Design Data'!C23)</f>
      </c>
      <c r="G187" s="1161">
        <v>0</v>
      </c>
      <c r="H187" s="1069">
        <f t="shared" si="9"/>
        <v>0</v>
      </c>
      <c r="I187" s="1292"/>
    </row>
    <row r="188" spans="1:9" ht="12.75">
      <c r="A188" s="1043" t="s">
        <v>1983</v>
      </c>
      <c r="B188" s="1290">
        <f t="shared" si="8"/>
        <v>0</v>
      </c>
      <c r="C188" s="1140" t="str">
        <f t="shared" si="10"/>
        <v>AMMIXPACK</v>
      </c>
      <c r="D188" s="1140">
        <f t="shared" si="11"/>
        <v>1</v>
      </c>
      <c r="E188" s="1142">
        <v>180</v>
      </c>
      <c r="F188" s="1145">
        <f>IF('Design Data'!C24="","",'Design Data'!C24)</f>
      </c>
      <c r="G188" s="1161">
        <v>0</v>
      </c>
      <c r="H188" s="1069">
        <f t="shared" si="9"/>
        <v>0</v>
      </c>
      <c r="I188" s="1292"/>
    </row>
    <row r="189" spans="1:9" ht="12.75">
      <c r="A189" s="1043" t="s">
        <v>1984</v>
      </c>
      <c r="B189" s="1290">
        <f t="shared" si="8"/>
        <v>0</v>
      </c>
      <c r="C189" s="1140" t="str">
        <f t="shared" si="10"/>
        <v>AMMIXPACK</v>
      </c>
      <c r="D189" s="1140">
        <f t="shared" si="11"/>
        <v>1</v>
      </c>
      <c r="E189" s="1142">
        <v>181</v>
      </c>
      <c r="F189" s="1145">
        <f>IF('Design Data'!C25="","",'Design Data'!C25)</f>
      </c>
      <c r="G189" s="1161">
        <v>0</v>
      </c>
      <c r="H189" s="1069">
        <f t="shared" si="9"/>
        <v>0</v>
      </c>
      <c r="I189" s="1292"/>
    </row>
    <row r="190" spans="1:9" ht="12.75">
      <c r="A190" s="1043" t="s">
        <v>2013</v>
      </c>
      <c r="B190" s="1290">
        <f t="shared" si="8"/>
        <v>0</v>
      </c>
      <c r="C190" s="1140" t="str">
        <f t="shared" si="10"/>
        <v>AMMIXPACK</v>
      </c>
      <c r="D190" s="1140">
        <f t="shared" si="11"/>
        <v>1</v>
      </c>
      <c r="E190" s="1142">
        <v>182</v>
      </c>
      <c r="F190" s="1145">
        <f>IF('Design Data'!C26="","",'Design Data'!C26)</f>
      </c>
      <c r="G190" s="1161">
        <v>0</v>
      </c>
      <c r="H190" s="1069">
        <f t="shared" si="9"/>
        <v>0</v>
      </c>
      <c r="I190" s="1292"/>
    </row>
    <row r="191" spans="1:9" ht="12.75">
      <c r="A191" s="1043" t="s">
        <v>2014</v>
      </c>
      <c r="B191" s="1290">
        <f t="shared" si="8"/>
        <v>0</v>
      </c>
      <c r="C191" s="1140" t="str">
        <f t="shared" si="10"/>
        <v>AMMIXPACK</v>
      </c>
      <c r="D191" s="1140">
        <f t="shared" si="11"/>
        <v>1</v>
      </c>
      <c r="E191" s="1142">
        <v>183</v>
      </c>
      <c r="F191" s="1145">
        <f>IF('Design Data'!C27="","",'Design Data'!C27)</f>
      </c>
      <c r="G191" s="1161">
        <v>0</v>
      </c>
      <c r="H191" s="1069">
        <f t="shared" si="9"/>
        <v>0</v>
      </c>
      <c r="I191" s="1292"/>
    </row>
    <row r="192" spans="1:9" ht="12.75">
      <c r="A192" s="1043" t="s">
        <v>868</v>
      </c>
      <c r="B192" s="1290">
        <f t="shared" si="8"/>
        <v>0</v>
      </c>
      <c r="C192" s="1140" t="str">
        <f t="shared" si="10"/>
        <v>AMMIXPACK</v>
      </c>
      <c r="D192" s="1140">
        <f t="shared" si="11"/>
        <v>1</v>
      </c>
      <c r="E192" s="1142">
        <v>184</v>
      </c>
      <c r="F192" s="1145">
        <f>IF('Design Data'!C28="","",'Design Data'!C28)</f>
      </c>
      <c r="G192" s="1161">
        <v>0</v>
      </c>
      <c r="H192" s="1069">
        <f t="shared" si="9"/>
        <v>0</v>
      </c>
      <c r="I192" s="1292"/>
    </row>
    <row r="193" spans="1:9" ht="12.75">
      <c r="A193" s="1043" t="s">
        <v>662</v>
      </c>
      <c r="B193" s="1290">
        <f t="shared" si="8"/>
        <v>0</v>
      </c>
      <c r="C193" s="1140" t="str">
        <f t="shared" si="10"/>
        <v>AMMIXPACK</v>
      </c>
      <c r="D193" s="1140">
        <f t="shared" si="11"/>
        <v>1</v>
      </c>
      <c r="E193" s="1142">
        <v>185</v>
      </c>
      <c r="F193" s="1145">
        <f>IF('Design Data'!H23="","",'Design Data'!H23)</f>
      </c>
      <c r="G193" s="1161">
        <v>0</v>
      </c>
      <c r="H193" s="1069">
        <f t="shared" si="9"/>
        <v>0</v>
      </c>
      <c r="I193" s="1292"/>
    </row>
    <row r="194" spans="1:9" ht="12.75">
      <c r="A194" s="1043" t="s">
        <v>869</v>
      </c>
      <c r="B194" s="1290">
        <f t="shared" si="8"/>
        <v>0</v>
      </c>
      <c r="C194" s="1140" t="str">
        <f t="shared" si="10"/>
        <v>AMMIXPACK</v>
      </c>
      <c r="D194" s="1140">
        <f t="shared" si="11"/>
        <v>1</v>
      </c>
      <c r="E194" s="1142">
        <v>186</v>
      </c>
      <c r="F194" s="1145">
        <f>IF('Design Data'!H24="","",'Design Data'!H24)</f>
      </c>
      <c r="G194" s="1161">
        <v>0</v>
      </c>
      <c r="H194" s="1069">
        <f t="shared" si="9"/>
        <v>0</v>
      </c>
      <c r="I194" s="1292"/>
    </row>
    <row r="195" spans="1:9" ht="12.75">
      <c r="A195" s="1043" t="s">
        <v>870</v>
      </c>
      <c r="B195" s="1290">
        <f t="shared" si="8"/>
        <v>0</v>
      </c>
      <c r="C195" s="1140" t="str">
        <f t="shared" si="10"/>
        <v>AMMIXPACK</v>
      </c>
      <c r="D195" s="1140">
        <f t="shared" si="11"/>
        <v>1</v>
      </c>
      <c r="E195" s="1142">
        <v>187</v>
      </c>
      <c r="F195" s="1145">
        <f>IF('Design Data'!H25="","",'Design Data'!H25)</f>
      </c>
      <c r="G195" s="1161">
        <v>0</v>
      </c>
      <c r="H195" s="1069">
        <f t="shared" si="9"/>
        <v>0</v>
      </c>
      <c r="I195" s="1292"/>
    </row>
    <row r="196" spans="1:9" ht="12.75">
      <c r="A196" s="1043" t="s">
        <v>871</v>
      </c>
      <c r="B196" s="1290">
        <f t="shared" si="8"/>
        <v>0</v>
      </c>
      <c r="C196" s="1140" t="str">
        <f t="shared" si="10"/>
        <v>AMMIXPACK</v>
      </c>
      <c r="D196" s="1140">
        <f t="shared" si="11"/>
        <v>1</v>
      </c>
      <c r="E196" s="1142">
        <v>188</v>
      </c>
      <c r="F196" s="1145">
        <f>IF('Design Data'!H26="","",'Design Data'!H26)</f>
      </c>
      <c r="G196" s="1161">
        <v>0</v>
      </c>
      <c r="H196" s="1069">
        <f t="shared" si="9"/>
        <v>0</v>
      </c>
      <c r="I196" s="1292"/>
    </row>
    <row r="197" spans="1:9" ht="12.75">
      <c r="A197" s="1043" t="s">
        <v>872</v>
      </c>
      <c r="B197" s="1290">
        <f t="shared" si="8"/>
        <v>0</v>
      </c>
      <c r="C197" s="1140" t="str">
        <f t="shared" si="10"/>
        <v>AMMIXPACK</v>
      </c>
      <c r="D197" s="1140">
        <f t="shared" si="11"/>
        <v>1</v>
      </c>
      <c r="E197" s="1142">
        <v>189</v>
      </c>
      <c r="F197" s="1145">
        <f>IF('Design Data'!H27="","",'Design Data'!H27)</f>
      </c>
      <c r="G197" s="1161">
        <v>0</v>
      </c>
      <c r="H197" s="1069">
        <f t="shared" si="9"/>
        <v>0</v>
      </c>
      <c r="I197" s="1292"/>
    </row>
    <row r="198" spans="1:9" ht="12.75">
      <c r="A198" s="1043" t="s">
        <v>873</v>
      </c>
      <c r="B198" s="1290">
        <f t="shared" si="8"/>
        <v>0</v>
      </c>
      <c r="C198" s="1140" t="str">
        <f t="shared" si="10"/>
        <v>AMMIXPACK</v>
      </c>
      <c r="D198" s="1140">
        <f t="shared" si="11"/>
        <v>1</v>
      </c>
      <c r="E198" s="1142">
        <v>190</v>
      </c>
      <c r="F198" s="1145">
        <f>IF('Design Data'!H28="","",'Design Data'!H28)</f>
      </c>
      <c r="G198" s="1161">
        <v>0</v>
      </c>
      <c r="H198" s="1069">
        <f t="shared" si="9"/>
        <v>0</v>
      </c>
      <c r="I198" s="1292"/>
    </row>
    <row r="199" spans="1:9" ht="12.75">
      <c r="A199" s="1043" t="s">
        <v>945</v>
      </c>
      <c r="B199" s="1290">
        <f t="shared" si="8"/>
        <v>0</v>
      </c>
      <c r="C199" s="1140" t="str">
        <f t="shared" si="10"/>
        <v>AMMIXPACK</v>
      </c>
      <c r="D199" s="1140">
        <f t="shared" si="11"/>
        <v>1</v>
      </c>
      <c r="E199" s="1142">
        <v>191</v>
      </c>
      <c r="F199" s="1145">
        <f>IF('Design Data'!J23="","",'Design Data'!J23)</f>
      </c>
      <c r="G199" s="1161">
        <v>0</v>
      </c>
      <c r="H199" s="1069">
        <f t="shared" si="9"/>
        <v>0</v>
      </c>
      <c r="I199" s="1292"/>
    </row>
    <row r="200" spans="1:9" ht="12.75">
      <c r="A200" s="1043" t="s">
        <v>874</v>
      </c>
      <c r="B200" s="1290">
        <f t="shared" si="8"/>
        <v>0</v>
      </c>
      <c r="C200" s="1140" t="str">
        <f t="shared" si="10"/>
        <v>AMMIXPACK</v>
      </c>
      <c r="D200" s="1140">
        <f t="shared" si="11"/>
        <v>1</v>
      </c>
      <c r="E200" s="1142">
        <v>192</v>
      </c>
      <c r="F200" s="1145">
        <f>IF('Design Data'!J24="","",'Design Data'!J24)</f>
      </c>
      <c r="G200" s="1161">
        <v>0</v>
      </c>
      <c r="H200" s="1069">
        <f t="shared" si="9"/>
        <v>0</v>
      </c>
      <c r="I200" s="1292"/>
    </row>
    <row r="201" spans="1:9" ht="12.75">
      <c r="A201" s="1043" t="s">
        <v>875</v>
      </c>
      <c r="B201" s="1290">
        <f t="shared" si="8"/>
        <v>0</v>
      </c>
      <c r="C201" s="1140" t="str">
        <f t="shared" si="10"/>
        <v>AMMIXPACK</v>
      </c>
      <c r="D201" s="1140">
        <f t="shared" si="11"/>
        <v>1</v>
      </c>
      <c r="E201" s="1142">
        <v>193</v>
      </c>
      <c r="F201" s="1145">
        <f>IF('Design Data'!J25="","",'Design Data'!J25)</f>
      </c>
      <c r="G201" s="1161">
        <v>0</v>
      </c>
      <c r="H201" s="1069">
        <f t="shared" si="9"/>
        <v>0</v>
      </c>
      <c r="I201" s="1292"/>
    </row>
    <row r="202" spans="1:9" ht="12.75">
      <c r="A202" s="1043" t="s">
        <v>876</v>
      </c>
      <c r="B202" s="1290">
        <f aca="true" t="shared" si="13" ref="B202:B261">B201</f>
        <v>0</v>
      </c>
      <c r="C202" s="1140" t="str">
        <f t="shared" si="10"/>
        <v>AMMIXPACK</v>
      </c>
      <c r="D202" s="1140">
        <f t="shared" si="11"/>
        <v>1</v>
      </c>
      <c r="E202" s="1142">
        <v>194</v>
      </c>
      <c r="F202" s="1145">
        <f>IF('Design Data'!J26="","",'Design Data'!J26)</f>
      </c>
      <c r="G202" s="1161">
        <v>0</v>
      </c>
      <c r="H202" s="1069">
        <f aca="true" t="shared" si="14" ref="H202:H261">H201</f>
        <v>0</v>
      </c>
      <c r="I202" s="1292"/>
    </row>
    <row r="203" spans="1:9" ht="12.75">
      <c r="A203" s="1043" t="s">
        <v>877</v>
      </c>
      <c r="B203" s="1290">
        <f t="shared" si="13"/>
        <v>0</v>
      </c>
      <c r="C203" s="1140" t="str">
        <f aca="true" t="shared" si="15" ref="C203:C261">C202</f>
        <v>AMMIXPACK</v>
      </c>
      <c r="D203" s="1140">
        <f t="shared" si="11"/>
        <v>1</v>
      </c>
      <c r="E203" s="1142">
        <v>195</v>
      </c>
      <c r="F203" s="1145">
        <f>IF('Design Data'!J27="","",'Design Data'!J27)</f>
      </c>
      <c r="G203" s="1161">
        <v>0</v>
      </c>
      <c r="H203" s="1069">
        <f t="shared" si="14"/>
        <v>0</v>
      </c>
      <c r="I203" s="1292"/>
    </row>
    <row r="204" spans="1:9" ht="12.75">
      <c r="A204" s="1043" t="s">
        <v>878</v>
      </c>
      <c r="B204" s="1290">
        <f t="shared" si="13"/>
        <v>0</v>
      </c>
      <c r="C204" s="1140" t="str">
        <f t="shared" si="15"/>
        <v>AMMIXPACK</v>
      </c>
      <c r="D204" s="1140">
        <f t="shared" si="11"/>
        <v>1</v>
      </c>
      <c r="E204" s="1142">
        <v>196</v>
      </c>
      <c r="F204" s="1145">
        <f>IF('Design Data'!J28="","",'Design Data'!J28)</f>
      </c>
      <c r="G204" s="1161">
        <v>0</v>
      </c>
      <c r="H204" s="1069">
        <f t="shared" si="14"/>
        <v>0</v>
      </c>
      <c r="I204" s="1292"/>
    </row>
    <row r="205" spans="1:9" ht="12.75">
      <c r="A205" s="1043" t="s">
        <v>1706</v>
      </c>
      <c r="B205" s="1290">
        <f t="shared" si="13"/>
        <v>0</v>
      </c>
      <c r="C205" s="1140" t="str">
        <f t="shared" si="15"/>
        <v>AMMIXPACK</v>
      </c>
      <c r="D205" s="1140">
        <f t="shared" si="11"/>
        <v>1</v>
      </c>
      <c r="E205" s="1142">
        <v>197</v>
      </c>
      <c r="F205" s="1151"/>
      <c r="G205" s="1069">
        <f>IF('Design Data'!L23="",0,ROUND('Design Data'!L23,2))</f>
        <v>0</v>
      </c>
      <c r="H205" s="1069">
        <f t="shared" si="14"/>
        <v>0</v>
      </c>
      <c r="I205" s="1292"/>
    </row>
    <row r="206" spans="1:9" ht="12.75">
      <c r="A206" s="1043" t="s">
        <v>1710</v>
      </c>
      <c r="B206" s="1290">
        <f t="shared" si="13"/>
        <v>0</v>
      </c>
      <c r="C206" s="1140" t="str">
        <f t="shared" si="15"/>
        <v>AMMIXPACK</v>
      </c>
      <c r="D206" s="1140">
        <f t="shared" si="11"/>
        <v>1</v>
      </c>
      <c r="E206" s="1142">
        <v>198</v>
      </c>
      <c r="F206" s="1151"/>
      <c r="G206" s="1069">
        <f>IF('Design Data'!L24="",0,ROUND('Design Data'!L24,2))</f>
        <v>0</v>
      </c>
      <c r="H206" s="1069">
        <f t="shared" si="14"/>
        <v>0</v>
      </c>
      <c r="I206" s="1292"/>
    </row>
    <row r="207" spans="1:9" ht="12.75">
      <c r="A207" s="1043" t="s">
        <v>1711</v>
      </c>
      <c r="B207" s="1290">
        <f t="shared" si="13"/>
        <v>0</v>
      </c>
      <c r="C207" s="1140" t="str">
        <f t="shared" si="15"/>
        <v>AMMIXPACK</v>
      </c>
      <c r="D207" s="1140">
        <f t="shared" si="11"/>
        <v>1</v>
      </c>
      <c r="E207" s="1142">
        <v>199</v>
      </c>
      <c r="F207" s="1151"/>
      <c r="G207" s="1069">
        <f>IF('Design Data'!L25="",0,ROUND('Design Data'!L25,2))</f>
        <v>0</v>
      </c>
      <c r="H207" s="1069">
        <f t="shared" si="14"/>
        <v>0</v>
      </c>
      <c r="I207" s="1292"/>
    </row>
    <row r="208" spans="1:9" ht="12.75">
      <c r="A208" s="1043" t="s">
        <v>1712</v>
      </c>
      <c r="B208" s="1290">
        <f t="shared" si="13"/>
        <v>0</v>
      </c>
      <c r="C208" s="1140" t="str">
        <f t="shared" si="15"/>
        <v>AMMIXPACK</v>
      </c>
      <c r="D208" s="1140">
        <f aca="true" t="shared" si="16" ref="D208:D261">D207</f>
        <v>1</v>
      </c>
      <c r="E208" s="1142">
        <v>200</v>
      </c>
      <c r="F208" s="1151"/>
      <c r="G208" s="1069">
        <f>IF('Design Data'!L26="",0,ROUND('Design Data'!L26,2))</f>
        <v>0</v>
      </c>
      <c r="H208" s="1069">
        <f t="shared" si="14"/>
        <v>0</v>
      </c>
      <c r="I208" s="1292"/>
    </row>
    <row r="209" spans="1:9" ht="12.75">
      <c r="A209" s="1043" t="s">
        <v>1713</v>
      </c>
      <c r="B209" s="1290">
        <f t="shared" si="13"/>
        <v>0</v>
      </c>
      <c r="C209" s="1140" t="str">
        <f t="shared" si="15"/>
        <v>AMMIXPACK</v>
      </c>
      <c r="D209" s="1140">
        <f t="shared" si="16"/>
        <v>1</v>
      </c>
      <c r="E209" s="1142">
        <v>201</v>
      </c>
      <c r="F209" s="1151"/>
      <c r="G209" s="1069">
        <f>IF('Design Data'!L27="",0,ROUND('Design Data'!L27,2))</f>
        <v>0</v>
      </c>
      <c r="H209" s="1069">
        <f t="shared" si="14"/>
        <v>0</v>
      </c>
      <c r="I209" s="1292"/>
    </row>
    <row r="210" spans="1:9" ht="12.75">
      <c r="A210" s="1043" t="s">
        <v>1714</v>
      </c>
      <c r="B210" s="1290">
        <f t="shared" si="13"/>
        <v>0</v>
      </c>
      <c r="C210" s="1140" t="str">
        <f t="shared" si="15"/>
        <v>AMMIXPACK</v>
      </c>
      <c r="D210" s="1140">
        <f t="shared" si="16"/>
        <v>1</v>
      </c>
      <c r="E210" s="1142">
        <v>202</v>
      </c>
      <c r="F210" s="1151"/>
      <c r="G210" s="1069">
        <f>IF('Design Data'!L28="",0,ROUND('Design Data'!L28,2))</f>
        <v>0</v>
      </c>
      <c r="H210" s="1069">
        <f t="shared" si="14"/>
        <v>0</v>
      </c>
      <c r="I210" s="1292"/>
    </row>
    <row r="211" spans="1:9" ht="12.75">
      <c r="A211" s="1043" t="s">
        <v>947</v>
      </c>
      <c r="B211" s="1290">
        <f t="shared" si="13"/>
        <v>0</v>
      </c>
      <c r="C211" s="1140" t="str">
        <f t="shared" si="15"/>
        <v>AMMIXPACK</v>
      </c>
      <c r="D211" s="1140">
        <f t="shared" si="16"/>
        <v>1</v>
      </c>
      <c r="E211" s="1142">
        <v>203</v>
      </c>
      <c r="F211" s="1151"/>
      <c r="G211" s="1069">
        <f>IF('Design Data'!M23="",0,ROUND('Design Data'!M23,0))</f>
        <v>0</v>
      </c>
      <c r="H211" s="1069">
        <f t="shared" si="14"/>
        <v>0</v>
      </c>
      <c r="I211" s="1292"/>
    </row>
    <row r="212" spans="1:9" ht="12.75">
      <c r="A212" s="1043" t="s">
        <v>879</v>
      </c>
      <c r="B212" s="1290">
        <f t="shared" si="13"/>
        <v>0</v>
      </c>
      <c r="C212" s="1140" t="str">
        <f t="shared" si="15"/>
        <v>AMMIXPACK</v>
      </c>
      <c r="D212" s="1140">
        <f t="shared" si="16"/>
        <v>1</v>
      </c>
      <c r="E212" s="1142">
        <v>204</v>
      </c>
      <c r="F212" s="1151"/>
      <c r="G212" s="1069">
        <f>IF('Design Data'!M24="",0,ROUND('Design Data'!M24,0))</f>
        <v>0</v>
      </c>
      <c r="H212" s="1069">
        <f t="shared" si="14"/>
        <v>0</v>
      </c>
      <c r="I212" s="1292"/>
    </row>
    <row r="213" spans="1:9" ht="12.75">
      <c r="A213" s="1043" t="s">
        <v>880</v>
      </c>
      <c r="B213" s="1290">
        <f t="shared" si="13"/>
        <v>0</v>
      </c>
      <c r="C213" s="1140" t="str">
        <f t="shared" si="15"/>
        <v>AMMIXPACK</v>
      </c>
      <c r="D213" s="1140">
        <f t="shared" si="16"/>
        <v>1</v>
      </c>
      <c r="E213" s="1142">
        <v>205</v>
      </c>
      <c r="F213" s="1151"/>
      <c r="G213" s="1069">
        <f>IF('Design Data'!M25="",0,ROUND('Design Data'!M25,0))</f>
        <v>0</v>
      </c>
      <c r="H213" s="1069">
        <f t="shared" si="14"/>
        <v>0</v>
      </c>
      <c r="I213" s="1292"/>
    </row>
    <row r="214" spans="1:9" ht="12.75">
      <c r="A214" s="1043" t="s">
        <v>881</v>
      </c>
      <c r="B214" s="1290">
        <f t="shared" si="13"/>
        <v>0</v>
      </c>
      <c r="C214" s="1140" t="str">
        <f t="shared" si="15"/>
        <v>AMMIXPACK</v>
      </c>
      <c r="D214" s="1140">
        <f t="shared" si="16"/>
        <v>1</v>
      </c>
      <c r="E214" s="1142">
        <v>206</v>
      </c>
      <c r="F214" s="1151"/>
      <c r="G214" s="1069">
        <f>IF('Design Data'!M26="",0,ROUND('Design Data'!M26,0))</f>
        <v>0</v>
      </c>
      <c r="H214" s="1069">
        <f t="shared" si="14"/>
        <v>0</v>
      </c>
      <c r="I214" s="1292"/>
    </row>
    <row r="215" spans="1:9" ht="12.75">
      <c r="A215" s="1043" t="s">
        <v>882</v>
      </c>
      <c r="B215" s="1290">
        <f t="shared" si="13"/>
        <v>0</v>
      </c>
      <c r="C215" s="1140" t="str">
        <f t="shared" si="15"/>
        <v>AMMIXPACK</v>
      </c>
      <c r="D215" s="1140">
        <f t="shared" si="16"/>
        <v>1</v>
      </c>
      <c r="E215" s="1142">
        <v>207</v>
      </c>
      <c r="F215" s="1151"/>
      <c r="G215" s="1069">
        <f>IF('Design Data'!M27="",0,ROUND('Design Data'!M27,0))</f>
        <v>0</v>
      </c>
      <c r="H215" s="1069">
        <f t="shared" si="14"/>
        <v>0</v>
      </c>
      <c r="I215" s="1292"/>
    </row>
    <row r="216" spans="1:9" ht="12.75">
      <c r="A216" s="1043" t="s">
        <v>883</v>
      </c>
      <c r="B216" s="1290">
        <f t="shared" si="13"/>
        <v>0</v>
      </c>
      <c r="C216" s="1140" t="str">
        <f t="shared" si="15"/>
        <v>AMMIXPACK</v>
      </c>
      <c r="D216" s="1140">
        <f t="shared" si="16"/>
        <v>1</v>
      </c>
      <c r="E216" s="1142">
        <v>208</v>
      </c>
      <c r="F216" s="1151"/>
      <c r="G216" s="1069">
        <f>IF('Design Data'!M28="",0,ROUND('Design Data'!M28,0))</f>
        <v>0</v>
      </c>
      <c r="H216" s="1069">
        <f t="shared" si="14"/>
        <v>0</v>
      </c>
      <c r="I216" s="1292"/>
    </row>
    <row r="217" spans="1:9" ht="12.75">
      <c r="A217" s="1043" t="s">
        <v>2257</v>
      </c>
      <c r="B217" s="1290">
        <f t="shared" si="13"/>
        <v>0</v>
      </c>
      <c r="C217" s="1140" t="str">
        <f t="shared" si="15"/>
        <v>AMMIXPACK</v>
      </c>
      <c r="D217" s="1140">
        <f t="shared" si="16"/>
        <v>1</v>
      </c>
      <c r="E217" s="1142">
        <v>209</v>
      </c>
      <c r="F217" s="1145">
        <f>IF('Design Data'!M113="","",'Design Data'!M113)</f>
      </c>
      <c r="G217" s="1161">
        <v>0</v>
      </c>
      <c r="H217" s="1069">
        <f t="shared" si="14"/>
        <v>0</v>
      </c>
      <c r="I217" s="1292"/>
    </row>
    <row r="218" spans="1:9" ht="12.75">
      <c r="A218" s="1043" t="s">
        <v>895</v>
      </c>
      <c r="B218" s="1290">
        <f t="shared" si="13"/>
        <v>0</v>
      </c>
      <c r="C218" s="1140" t="str">
        <f t="shared" si="15"/>
        <v>AMMIXPACK</v>
      </c>
      <c r="D218" s="1140">
        <f t="shared" si="16"/>
        <v>1</v>
      </c>
      <c r="E218" s="1142">
        <v>210</v>
      </c>
      <c r="F218" s="1145">
        <f>IF('Design Data'!M114="","",'Design Data'!M114)</f>
      </c>
      <c r="G218" s="1161">
        <v>0</v>
      </c>
      <c r="H218" s="1069">
        <f t="shared" si="14"/>
        <v>0</v>
      </c>
      <c r="I218" s="1292"/>
    </row>
    <row r="219" spans="1:9" ht="12.75">
      <c r="A219" s="1043" t="s">
        <v>896</v>
      </c>
      <c r="B219" s="1290">
        <f t="shared" si="13"/>
        <v>0</v>
      </c>
      <c r="C219" s="1140" t="str">
        <f t="shared" si="15"/>
        <v>AMMIXPACK</v>
      </c>
      <c r="D219" s="1140">
        <f t="shared" si="16"/>
        <v>1</v>
      </c>
      <c r="E219" s="1142">
        <v>211</v>
      </c>
      <c r="F219" s="1145">
        <f>IF('Design Data'!M115="","",'Design Data'!M115)</f>
      </c>
      <c r="G219" s="1161">
        <v>0</v>
      </c>
      <c r="H219" s="1069">
        <f t="shared" si="14"/>
        <v>0</v>
      </c>
      <c r="I219" s="1292"/>
    </row>
    <row r="220" spans="1:9" ht="12.75">
      <c r="A220" s="1043" t="s">
        <v>897</v>
      </c>
      <c r="B220" s="1290">
        <f t="shared" si="13"/>
        <v>0</v>
      </c>
      <c r="C220" s="1140" t="str">
        <f t="shared" si="15"/>
        <v>AMMIXPACK</v>
      </c>
      <c r="D220" s="1140">
        <f t="shared" si="16"/>
        <v>1</v>
      </c>
      <c r="E220" s="1142">
        <v>212</v>
      </c>
      <c r="F220" s="1145">
        <f>IF('Design Data'!M116="","",'Design Data'!M116)</f>
      </c>
      <c r="G220" s="1161">
        <v>0</v>
      </c>
      <c r="H220" s="1069">
        <f t="shared" si="14"/>
        <v>0</v>
      </c>
      <c r="I220" s="1292"/>
    </row>
    <row r="221" spans="1:9" ht="12.75">
      <c r="A221" s="1043" t="s">
        <v>898</v>
      </c>
      <c r="B221" s="1290">
        <f t="shared" si="13"/>
        <v>0</v>
      </c>
      <c r="C221" s="1140" t="str">
        <f t="shared" si="15"/>
        <v>AMMIXPACK</v>
      </c>
      <c r="D221" s="1140">
        <f t="shared" si="16"/>
        <v>1</v>
      </c>
      <c r="E221" s="1142">
        <v>213</v>
      </c>
      <c r="F221" s="1145">
        <f>IF('Design Data'!M117="","",'Design Data'!M117)</f>
      </c>
      <c r="G221" s="1161">
        <v>0</v>
      </c>
      <c r="H221" s="1069">
        <f t="shared" si="14"/>
        <v>0</v>
      </c>
      <c r="I221" s="1292"/>
    </row>
    <row r="222" spans="1:9" ht="12.75">
      <c r="A222" s="1043" t="s">
        <v>899</v>
      </c>
      <c r="B222" s="1290">
        <f t="shared" si="13"/>
        <v>0</v>
      </c>
      <c r="C222" s="1140" t="str">
        <f t="shared" si="15"/>
        <v>AMMIXPACK</v>
      </c>
      <c r="D222" s="1140">
        <f t="shared" si="16"/>
        <v>1</v>
      </c>
      <c r="E222" s="1142">
        <v>214</v>
      </c>
      <c r="F222" s="1145">
        <f>IF('Design Data'!M118="","",'Design Data'!M118)</f>
      </c>
      <c r="G222" s="1161">
        <v>0</v>
      </c>
      <c r="H222" s="1069">
        <f t="shared" si="14"/>
        <v>0</v>
      </c>
      <c r="I222" s="1292"/>
    </row>
    <row r="223" spans="1:9" ht="12.75">
      <c r="A223" s="1043" t="s">
        <v>460</v>
      </c>
      <c r="B223" s="1290">
        <f t="shared" si="13"/>
        <v>0</v>
      </c>
      <c r="C223" s="1140" t="str">
        <f t="shared" si="15"/>
        <v>AMMIXPACK</v>
      </c>
      <c r="D223" s="1140">
        <f t="shared" si="16"/>
        <v>1</v>
      </c>
      <c r="E223" s="1142">
        <v>215</v>
      </c>
      <c r="F223" s="1145">
        <f>IF('Design Data'!N113="","",'Design Data'!N113)</f>
      </c>
      <c r="G223" s="1161">
        <v>0</v>
      </c>
      <c r="H223" s="1069">
        <f t="shared" si="14"/>
        <v>0</v>
      </c>
      <c r="I223" s="1292"/>
    </row>
    <row r="224" spans="1:9" ht="12.75">
      <c r="A224" s="1043" t="s">
        <v>884</v>
      </c>
      <c r="B224" s="1290">
        <f t="shared" si="13"/>
        <v>0</v>
      </c>
      <c r="C224" s="1140" t="str">
        <f t="shared" si="15"/>
        <v>AMMIXPACK</v>
      </c>
      <c r="D224" s="1140">
        <f t="shared" si="16"/>
        <v>1</v>
      </c>
      <c r="E224" s="1142">
        <v>216</v>
      </c>
      <c r="F224" s="1145">
        <f>IF('Design Data'!N114="","",'Design Data'!N114)</f>
      </c>
      <c r="G224" s="1161">
        <v>0</v>
      </c>
      <c r="H224" s="1069">
        <f t="shared" si="14"/>
        <v>0</v>
      </c>
      <c r="I224" s="1292"/>
    </row>
    <row r="225" spans="1:9" ht="12.75">
      <c r="A225" s="1043" t="s">
        <v>885</v>
      </c>
      <c r="B225" s="1290">
        <f t="shared" si="13"/>
        <v>0</v>
      </c>
      <c r="C225" s="1140" t="str">
        <f t="shared" si="15"/>
        <v>AMMIXPACK</v>
      </c>
      <c r="D225" s="1140">
        <f t="shared" si="16"/>
        <v>1</v>
      </c>
      <c r="E225" s="1142">
        <v>217</v>
      </c>
      <c r="F225" s="1145">
        <f>IF('Design Data'!N115="","",'Design Data'!N115)</f>
      </c>
      <c r="G225" s="1161">
        <v>0</v>
      </c>
      <c r="H225" s="1069">
        <f t="shared" si="14"/>
        <v>0</v>
      </c>
      <c r="I225" s="1292"/>
    </row>
    <row r="226" spans="1:9" ht="12.75">
      <c r="A226" s="1043" t="s">
        <v>886</v>
      </c>
      <c r="B226" s="1290">
        <f t="shared" si="13"/>
        <v>0</v>
      </c>
      <c r="C226" s="1140" t="str">
        <f t="shared" si="15"/>
        <v>AMMIXPACK</v>
      </c>
      <c r="D226" s="1140">
        <f t="shared" si="16"/>
        <v>1</v>
      </c>
      <c r="E226" s="1142">
        <v>218</v>
      </c>
      <c r="F226" s="1145">
        <f>IF('Design Data'!N116="","",'Design Data'!N116)</f>
      </c>
      <c r="G226" s="1161">
        <v>0</v>
      </c>
      <c r="H226" s="1069">
        <f t="shared" si="14"/>
        <v>0</v>
      </c>
      <c r="I226" s="1292"/>
    </row>
    <row r="227" spans="1:9" ht="12.75">
      <c r="A227" s="1043" t="s">
        <v>887</v>
      </c>
      <c r="B227" s="1290">
        <f t="shared" si="13"/>
        <v>0</v>
      </c>
      <c r="C227" s="1140" t="str">
        <f t="shared" si="15"/>
        <v>AMMIXPACK</v>
      </c>
      <c r="D227" s="1140">
        <f t="shared" si="16"/>
        <v>1</v>
      </c>
      <c r="E227" s="1142">
        <v>219</v>
      </c>
      <c r="F227" s="1145">
        <f>IF('Design Data'!N117="","",'Design Data'!N117)</f>
      </c>
      <c r="G227" s="1161">
        <v>0</v>
      </c>
      <c r="H227" s="1069">
        <f t="shared" si="14"/>
        <v>0</v>
      </c>
      <c r="I227" s="1292"/>
    </row>
    <row r="228" spans="1:9" ht="12.75">
      <c r="A228" s="1043" t="s">
        <v>888</v>
      </c>
      <c r="B228" s="1290">
        <f t="shared" si="13"/>
        <v>0</v>
      </c>
      <c r="C228" s="1140" t="str">
        <f t="shared" si="15"/>
        <v>AMMIXPACK</v>
      </c>
      <c r="D228" s="1140">
        <f t="shared" si="16"/>
        <v>1</v>
      </c>
      <c r="E228" s="1142">
        <v>220</v>
      </c>
      <c r="F228" s="1145">
        <f>IF('Design Data'!N118="","",'Design Data'!N118)</f>
      </c>
      <c r="G228" s="1161">
        <v>0</v>
      </c>
      <c r="H228" s="1069">
        <f t="shared" si="14"/>
        <v>0</v>
      </c>
      <c r="I228" s="1292"/>
    </row>
    <row r="229" spans="1:9" ht="12.75">
      <c r="A229" s="1065" t="s">
        <v>1947</v>
      </c>
      <c r="B229" s="1290">
        <f t="shared" si="13"/>
        <v>0</v>
      </c>
      <c r="C229" s="1140" t="str">
        <f t="shared" si="15"/>
        <v>AMMIXPACK</v>
      </c>
      <c r="D229" s="1140">
        <f t="shared" si="16"/>
        <v>1</v>
      </c>
      <c r="E229" s="1142">
        <v>221</v>
      </c>
      <c r="F229" s="1151" t="s">
        <v>905</v>
      </c>
      <c r="G229" s="1161">
        <v>0</v>
      </c>
      <c r="H229" s="1069">
        <f t="shared" si="14"/>
        <v>0</v>
      </c>
      <c r="I229" s="1292"/>
    </row>
    <row r="230" spans="1:9" ht="12.75">
      <c r="A230" s="1043" t="s">
        <v>1715</v>
      </c>
      <c r="B230" s="1290">
        <f t="shared" si="13"/>
        <v>0</v>
      </c>
      <c r="C230" s="1140" t="str">
        <f t="shared" si="15"/>
        <v>AMMIXPACK</v>
      </c>
      <c r="D230" s="1140">
        <f t="shared" si="16"/>
        <v>1</v>
      </c>
      <c r="E230" s="1142">
        <v>222</v>
      </c>
      <c r="F230" s="1151"/>
      <c r="G230" s="1069">
        <f>IF('1-Pt. Check'!C30="",0,ROUND('1-Pt. Check'!C30,1))</f>
        <v>0</v>
      </c>
      <c r="H230" s="1069">
        <f t="shared" si="14"/>
        <v>0</v>
      </c>
      <c r="I230" s="1292"/>
    </row>
    <row r="231" spans="1:9" ht="12.75">
      <c r="A231" s="1043" t="s">
        <v>1219</v>
      </c>
      <c r="B231" s="1290">
        <f t="shared" si="13"/>
        <v>0</v>
      </c>
      <c r="C231" s="1140" t="str">
        <f t="shared" si="15"/>
        <v>AMMIXPACK</v>
      </c>
      <c r="D231" s="1140">
        <f t="shared" si="16"/>
        <v>1</v>
      </c>
      <c r="E231" s="1142">
        <v>223</v>
      </c>
      <c r="F231" s="1151"/>
      <c r="G231" s="1069">
        <f>IF('1-Pt. Check'!C31="",0,ROUND('1-Pt. Check'!C31,1))</f>
        <v>0</v>
      </c>
      <c r="H231" s="1069">
        <f t="shared" si="14"/>
        <v>0</v>
      </c>
      <c r="I231" s="1292"/>
    </row>
    <row r="232" spans="1:9" ht="12.75">
      <c r="A232" s="1043" t="s">
        <v>1222</v>
      </c>
      <c r="B232" s="1290">
        <f t="shared" si="13"/>
        <v>0</v>
      </c>
      <c r="C232" s="1140" t="str">
        <f t="shared" si="15"/>
        <v>AMMIXPACK</v>
      </c>
      <c r="D232" s="1140">
        <f t="shared" si="16"/>
        <v>1</v>
      </c>
      <c r="E232" s="1142">
        <v>224</v>
      </c>
      <c r="F232" s="1151"/>
      <c r="G232" s="1069">
        <f>IF('1-Pt. Check'!C32="",0,ROUND('1-Pt. Check'!C32,1))</f>
        <v>0</v>
      </c>
      <c r="H232" s="1069">
        <f t="shared" si="14"/>
        <v>0</v>
      </c>
      <c r="I232" s="1292"/>
    </row>
    <row r="233" spans="1:9" ht="12.75">
      <c r="A233" s="1043" t="s">
        <v>1716</v>
      </c>
      <c r="B233" s="1290">
        <f t="shared" si="13"/>
        <v>0</v>
      </c>
      <c r="C233" s="1140" t="str">
        <f t="shared" si="15"/>
        <v>AMMIXPACK</v>
      </c>
      <c r="D233" s="1140">
        <f t="shared" si="16"/>
        <v>1</v>
      </c>
      <c r="E233" s="1142">
        <v>225</v>
      </c>
      <c r="F233" s="1151"/>
      <c r="G233" s="1069">
        <f>IF('1-Pt. Check'!C33="",0,ROUND('1-Pt. Check'!C33,2))</f>
        <v>0</v>
      </c>
      <c r="H233" s="1069">
        <f t="shared" si="14"/>
        <v>0</v>
      </c>
      <c r="I233" s="1292"/>
    </row>
    <row r="234" spans="1:9" ht="12.75">
      <c r="A234" s="1043" t="s">
        <v>1217</v>
      </c>
      <c r="B234" s="1290">
        <f t="shared" si="13"/>
        <v>0</v>
      </c>
      <c r="C234" s="1140" t="str">
        <f t="shared" si="15"/>
        <v>AMMIXPACK</v>
      </c>
      <c r="D234" s="1140">
        <f t="shared" si="16"/>
        <v>1</v>
      </c>
      <c r="E234" s="1142">
        <v>226</v>
      </c>
      <c r="F234" s="1151"/>
      <c r="G234" s="1069">
        <f>IF('1-Pt. Check'!E30="",0,ROUND('1-Pt. Check'!E30,1))</f>
        <v>0</v>
      </c>
      <c r="H234" s="1069">
        <f t="shared" si="14"/>
        <v>0</v>
      </c>
      <c r="I234" s="1292"/>
    </row>
    <row r="235" spans="1:9" ht="12.75">
      <c r="A235" s="1043" t="s">
        <v>664</v>
      </c>
      <c r="B235" s="1290">
        <f t="shared" si="13"/>
        <v>0</v>
      </c>
      <c r="C235" s="1140" t="str">
        <f t="shared" si="15"/>
        <v>AMMIXPACK</v>
      </c>
      <c r="D235" s="1140">
        <f t="shared" si="16"/>
        <v>1</v>
      </c>
      <c r="E235" s="1142">
        <v>227</v>
      </c>
      <c r="F235" s="1151"/>
      <c r="G235" s="1069">
        <f>IF('1-Pt. Check'!E31="",0,ROUND('1-Pt. Check'!E31,3))</f>
        <v>0</v>
      </c>
      <c r="H235" s="1069">
        <f t="shared" si="14"/>
        <v>0</v>
      </c>
      <c r="I235" s="1292"/>
    </row>
    <row r="236" spans="1:9" ht="12.75">
      <c r="A236" s="1043" t="s">
        <v>1223</v>
      </c>
      <c r="B236" s="1290">
        <f t="shared" si="13"/>
        <v>0</v>
      </c>
      <c r="C236" s="1140" t="str">
        <f t="shared" si="15"/>
        <v>AMMIXPACK</v>
      </c>
      <c r="D236" s="1140">
        <f t="shared" si="16"/>
        <v>1</v>
      </c>
      <c r="E236" s="1142">
        <v>228</v>
      </c>
      <c r="F236" s="1151"/>
      <c r="G236" s="1069">
        <f>IF('1-Pt. Check'!E32="",0,ROUND('1-Pt. Check'!E32,1))</f>
        <v>0</v>
      </c>
      <c r="H236" s="1069">
        <f t="shared" si="14"/>
        <v>0</v>
      </c>
      <c r="I236" s="1292"/>
    </row>
    <row r="237" spans="1:9" ht="12.75">
      <c r="A237" s="1043" t="s">
        <v>665</v>
      </c>
      <c r="B237" s="1290">
        <f t="shared" si="13"/>
        <v>0</v>
      </c>
      <c r="C237" s="1140" t="str">
        <f t="shared" si="15"/>
        <v>AMMIXPACK</v>
      </c>
      <c r="D237" s="1140">
        <f t="shared" si="16"/>
        <v>1</v>
      </c>
      <c r="E237" s="1142">
        <v>229</v>
      </c>
      <c r="F237" s="1151"/>
      <c r="G237" s="1069">
        <f>IF('1-Pt. Check'!E33="",0,ROUND('1-Pt. Check'!E33,3))</f>
        <v>0</v>
      </c>
      <c r="H237" s="1069">
        <f t="shared" si="14"/>
        <v>0</v>
      </c>
      <c r="I237" s="1292"/>
    </row>
    <row r="238" spans="1:9" ht="12.75">
      <c r="A238" s="1043" t="s">
        <v>1218</v>
      </c>
      <c r="B238" s="1290">
        <f t="shared" si="13"/>
        <v>0</v>
      </c>
      <c r="C238" s="1140" t="str">
        <f t="shared" si="15"/>
        <v>AMMIXPACK</v>
      </c>
      <c r="D238" s="1140">
        <f t="shared" si="16"/>
        <v>1</v>
      </c>
      <c r="E238" s="1142">
        <v>230</v>
      </c>
      <c r="F238" s="1151"/>
      <c r="G238" s="1069">
        <f>IF('1-Pt. Check'!H30="",0,ROUND('1-Pt. Check'!H30,1))</f>
        <v>0</v>
      </c>
      <c r="H238" s="1069">
        <f t="shared" si="14"/>
        <v>0</v>
      </c>
      <c r="I238" s="1292"/>
    </row>
    <row r="239" spans="1:9" ht="12.75">
      <c r="A239" s="1043" t="s">
        <v>1221</v>
      </c>
      <c r="B239" s="1290">
        <f t="shared" si="13"/>
        <v>0</v>
      </c>
      <c r="C239" s="1140" t="str">
        <f t="shared" si="15"/>
        <v>AMMIXPACK</v>
      </c>
      <c r="D239" s="1140">
        <f t="shared" si="16"/>
        <v>1</v>
      </c>
      <c r="E239" s="1142">
        <v>231</v>
      </c>
      <c r="F239" s="1151"/>
      <c r="G239" s="1069">
        <f>IF('1-Pt. Check'!H31="",0,ROUND('1-Pt. Check'!H31,1))</f>
        <v>0</v>
      </c>
      <c r="H239" s="1069">
        <f t="shared" si="14"/>
        <v>0</v>
      </c>
      <c r="I239" s="1292"/>
    </row>
    <row r="240" spans="1:9" ht="12.75">
      <c r="A240" s="1043" t="s">
        <v>1224</v>
      </c>
      <c r="B240" s="1290">
        <f t="shared" si="13"/>
        <v>0</v>
      </c>
      <c r="C240" s="1140" t="str">
        <f t="shared" si="15"/>
        <v>AMMIXPACK</v>
      </c>
      <c r="D240" s="1140">
        <f t="shared" si="16"/>
        <v>1</v>
      </c>
      <c r="E240" s="1142">
        <v>232</v>
      </c>
      <c r="F240" s="1151"/>
      <c r="G240" s="1069">
        <f>IF('1-Pt. Check'!H32="",0,ROUND('1-Pt. Check'!H32,2))</f>
        <v>0</v>
      </c>
      <c r="H240" s="1069">
        <f t="shared" si="14"/>
        <v>0</v>
      </c>
      <c r="I240" s="1292"/>
    </row>
    <row r="241" spans="1:9" ht="12.75">
      <c r="A241" s="1043" t="s">
        <v>1227</v>
      </c>
      <c r="B241" s="1290">
        <f t="shared" si="13"/>
        <v>0</v>
      </c>
      <c r="C241" s="1140" t="str">
        <f t="shared" si="15"/>
        <v>AMMIXPACK</v>
      </c>
      <c r="D241" s="1140">
        <f t="shared" si="16"/>
        <v>1</v>
      </c>
      <c r="E241" s="1142">
        <v>233</v>
      </c>
      <c r="F241" s="1145">
        <f>'1-Pt. Check'!H33</f>
      </c>
      <c r="G241" s="1161">
        <v>0</v>
      </c>
      <c r="H241" s="1069">
        <f t="shared" si="14"/>
        <v>0</v>
      </c>
      <c r="I241" s="1292"/>
    </row>
    <row r="242" spans="1:9" ht="12.75">
      <c r="A242" s="1065" t="s">
        <v>1946</v>
      </c>
      <c r="B242" s="1290">
        <f t="shared" si="13"/>
        <v>0</v>
      </c>
      <c r="C242" s="1140" t="str">
        <f t="shared" si="15"/>
        <v>AMMIXPACK</v>
      </c>
      <c r="D242" s="1140">
        <f t="shared" si="16"/>
        <v>1</v>
      </c>
      <c r="E242" s="1142">
        <v>234</v>
      </c>
      <c r="F242" s="1151" t="s">
        <v>905</v>
      </c>
      <c r="G242" s="1161">
        <v>0</v>
      </c>
      <c r="H242" s="1069">
        <f t="shared" si="14"/>
        <v>0</v>
      </c>
      <c r="I242" s="1292"/>
    </row>
    <row r="243" spans="1:9" ht="12.75">
      <c r="A243" s="1043" t="s">
        <v>2260</v>
      </c>
      <c r="B243" s="1290">
        <f t="shared" si="13"/>
        <v>0</v>
      </c>
      <c r="C243" s="1140" t="str">
        <f t="shared" si="15"/>
        <v>AMMIXPACK</v>
      </c>
      <c r="D243" s="1140">
        <f t="shared" si="16"/>
        <v>1</v>
      </c>
      <c r="E243" s="1142">
        <v>235</v>
      </c>
      <c r="F243" s="1145">
        <f>IF('Design Data'!J122="","",'Design Data'!J122)</f>
      </c>
      <c r="G243" s="1161">
        <v>0</v>
      </c>
      <c r="H243" s="1069">
        <f t="shared" si="14"/>
        <v>0</v>
      </c>
      <c r="I243" s="1292"/>
    </row>
    <row r="244" spans="1:9" ht="12.75">
      <c r="A244" s="1043" t="s">
        <v>890</v>
      </c>
      <c r="B244" s="1290">
        <f t="shared" si="13"/>
        <v>0</v>
      </c>
      <c r="C244" s="1140" t="str">
        <f t="shared" si="15"/>
        <v>AMMIXPACK</v>
      </c>
      <c r="D244" s="1140">
        <f t="shared" si="16"/>
        <v>1</v>
      </c>
      <c r="E244" s="1142">
        <v>236</v>
      </c>
      <c r="F244" s="1145">
        <f>IF('Design Data'!J123="","",'Design Data'!J123)</f>
      </c>
      <c r="G244" s="1161">
        <v>0</v>
      </c>
      <c r="H244" s="1069">
        <f t="shared" si="14"/>
        <v>0</v>
      </c>
      <c r="I244" s="1292"/>
    </row>
    <row r="245" spans="1:9" ht="12.75">
      <c r="A245" s="1043" t="s">
        <v>891</v>
      </c>
      <c r="B245" s="1290">
        <f t="shared" si="13"/>
        <v>0</v>
      </c>
      <c r="C245" s="1140" t="str">
        <f t="shared" si="15"/>
        <v>AMMIXPACK</v>
      </c>
      <c r="D245" s="1140">
        <f t="shared" si="16"/>
        <v>1</v>
      </c>
      <c r="E245" s="1142">
        <v>237</v>
      </c>
      <c r="F245" s="1145">
        <f>IF('Design Data'!J124="","",'Design Data'!J124)</f>
      </c>
      <c r="G245" s="1161">
        <v>0</v>
      </c>
      <c r="H245" s="1069">
        <f t="shared" si="14"/>
        <v>0</v>
      </c>
      <c r="I245" s="1292"/>
    </row>
    <row r="246" spans="1:9" ht="12.75">
      <c r="A246" s="1043" t="s">
        <v>892</v>
      </c>
      <c r="B246" s="1290">
        <f t="shared" si="13"/>
        <v>0</v>
      </c>
      <c r="C246" s="1140" t="str">
        <f t="shared" si="15"/>
        <v>AMMIXPACK</v>
      </c>
      <c r="D246" s="1140">
        <f t="shared" si="16"/>
        <v>1</v>
      </c>
      <c r="E246" s="1142">
        <v>238</v>
      </c>
      <c r="F246" s="1145">
        <f>IF('Design Data'!J125="","",'Design Data'!J125)</f>
      </c>
      <c r="G246" s="1161">
        <v>0</v>
      </c>
      <c r="H246" s="1069">
        <f t="shared" si="14"/>
        <v>0</v>
      </c>
      <c r="I246" s="1292"/>
    </row>
    <row r="247" spans="1:9" ht="12.75">
      <c r="A247" s="1043" t="s">
        <v>893</v>
      </c>
      <c r="B247" s="1290">
        <f t="shared" si="13"/>
        <v>0</v>
      </c>
      <c r="C247" s="1140" t="str">
        <f t="shared" si="15"/>
        <v>AMMIXPACK</v>
      </c>
      <c r="D247" s="1140">
        <f t="shared" si="16"/>
        <v>1</v>
      </c>
      <c r="E247" s="1142">
        <v>239</v>
      </c>
      <c r="F247" s="1145">
        <f>IF('Design Data'!J126="","",'Design Data'!J126)</f>
      </c>
      <c r="G247" s="1161">
        <v>0</v>
      </c>
      <c r="H247" s="1069">
        <f t="shared" si="14"/>
        <v>0</v>
      </c>
      <c r="I247" s="1292"/>
    </row>
    <row r="248" spans="1:9" ht="12.75">
      <c r="A248" s="1043" t="s">
        <v>894</v>
      </c>
      <c r="B248" s="1290">
        <f t="shared" si="13"/>
        <v>0</v>
      </c>
      <c r="C248" s="1140" t="str">
        <f t="shared" si="15"/>
        <v>AMMIXPACK</v>
      </c>
      <c r="D248" s="1140">
        <f t="shared" si="16"/>
        <v>1</v>
      </c>
      <c r="E248" s="1142">
        <v>240</v>
      </c>
      <c r="F248" s="1145">
        <f>IF('Design Data'!J127="","",'Design Data'!J127)</f>
      </c>
      <c r="G248" s="1161">
        <v>0</v>
      </c>
      <c r="H248" s="1069">
        <f t="shared" si="14"/>
        <v>0</v>
      </c>
      <c r="I248" s="1292"/>
    </row>
    <row r="249" spans="1:9" ht="12.75">
      <c r="A249" s="1043" t="s">
        <v>2257</v>
      </c>
      <c r="B249" s="1290">
        <f t="shared" si="13"/>
        <v>0</v>
      </c>
      <c r="C249" s="1140" t="str">
        <f t="shared" si="15"/>
        <v>AMMIXPACK</v>
      </c>
      <c r="D249" s="1140">
        <f t="shared" si="16"/>
        <v>1</v>
      </c>
      <c r="E249" s="1142">
        <v>241</v>
      </c>
      <c r="F249" s="1145">
        <f>IF('Design Data'!M122="","",'Design Data'!M122)</f>
      </c>
      <c r="G249" s="1161">
        <v>0</v>
      </c>
      <c r="H249" s="1069">
        <f t="shared" si="14"/>
        <v>0</v>
      </c>
      <c r="I249" s="1292"/>
    </row>
    <row r="250" spans="1:9" ht="12.75">
      <c r="A250" s="1043" t="s">
        <v>900</v>
      </c>
      <c r="B250" s="1290">
        <f t="shared" si="13"/>
        <v>0</v>
      </c>
      <c r="C250" s="1140" t="str">
        <f t="shared" si="15"/>
        <v>AMMIXPACK</v>
      </c>
      <c r="D250" s="1140">
        <f t="shared" si="16"/>
        <v>1</v>
      </c>
      <c r="E250" s="1142">
        <v>242</v>
      </c>
      <c r="F250" s="1145">
        <f>IF('Design Data'!M123="","",'Design Data'!M123)</f>
      </c>
      <c r="G250" s="1161">
        <v>0</v>
      </c>
      <c r="H250" s="1069">
        <f t="shared" si="14"/>
        <v>0</v>
      </c>
      <c r="I250" s="1292"/>
    </row>
    <row r="251" spans="1:9" ht="12.75">
      <c r="A251" s="1043" t="s">
        <v>901</v>
      </c>
      <c r="B251" s="1290">
        <f t="shared" si="13"/>
        <v>0</v>
      </c>
      <c r="C251" s="1140" t="str">
        <f t="shared" si="15"/>
        <v>AMMIXPACK</v>
      </c>
      <c r="D251" s="1140">
        <f t="shared" si="16"/>
        <v>1</v>
      </c>
      <c r="E251" s="1142">
        <v>243</v>
      </c>
      <c r="F251" s="1145">
        <f>IF('Design Data'!M124="","",'Design Data'!M124)</f>
      </c>
      <c r="G251" s="1161">
        <v>0</v>
      </c>
      <c r="H251" s="1069">
        <f t="shared" si="14"/>
        <v>0</v>
      </c>
      <c r="I251" s="1292"/>
    </row>
    <row r="252" spans="1:9" ht="12.75">
      <c r="A252" s="1043" t="s">
        <v>902</v>
      </c>
      <c r="B252" s="1290">
        <f t="shared" si="13"/>
        <v>0</v>
      </c>
      <c r="C252" s="1140" t="str">
        <f t="shared" si="15"/>
        <v>AMMIXPACK</v>
      </c>
      <c r="D252" s="1140">
        <f t="shared" si="16"/>
        <v>1</v>
      </c>
      <c r="E252" s="1142">
        <v>244</v>
      </c>
      <c r="F252" s="1145">
        <f>IF('Design Data'!M125="","",'Design Data'!M125)</f>
      </c>
      <c r="G252" s="1161">
        <v>0</v>
      </c>
      <c r="H252" s="1069">
        <f t="shared" si="14"/>
        <v>0</v>
      </c>
      <c r="I252" s="1292"/>
    </row>
    <row r="253" spans="1:9" ht="12.75">
      <c r="A253" s="1043" t="s">
        <v>903</v>
      </c>
      <c r="B253" s="1290">
        <f t="shared" si="13"/>
        <v>0</v>
      </c>
      <c r="C253" s="1140" t="str">
        <f t="shared" si="15"/>
        <v>AMMIXPACK</v>
      </c>
      <c r="D253" s="1140">
        <f t="shared" si="16"/>
        <v>1</v>
      </c>
      <c r="E253" s="1142">
        <v>245</v>
      </c>
      <c r="F253" s="1145">
        <f>IF('Design Data'!M126="","",'Design Data'!M126)</f>
      </c>
      <c r="G253" s="1161">
        <v>0</v>
      </c>
      <c r="H253" s="1069">
        <f t="shared" si="14"/>
        <v>0</v>
      </c>
      <c r="I253" s="1292"/>
    </row>
    <row r="254" spans="1:9" ht="12.75">
      <c r="A254" s="1043" t="s">
        <v>904</v>
      </c>
      <c r="B254" s="1290">
        <f t="shared" si="13"/>
        <v>0</v>
      </c>
      <c r="C254" s="1140" t="str">
        <f t="shared" si="15"/>
        <v>AMMIXPACK</v>
      </c>
      <c r="D254" s="1140">
        <f t="shared" si="16"/>
        <v>1</v>
      </c>
      <c r="E254" s="1142">
        <v>246</v>
      </c>
      <c r="F254" s="1145">
        <f>IF('Design Data'!M127="","",'Design Data'!M127)</f>
      </c>
      <c r="G254" s="1161">
        <v>0</v>
      </c>
      <c r="H254" s="1069">
        <f t="shared" si="14"/>
        <v>0</v>
      </c>
      <c r="I254" s="1292"/>
    </row>
    <row r="255" spans="1:9" ht="12.75">
      <c r="A255" s="1043" t="s">
        <v>462</v>
      </c>
      <c r="B255" s="1290">
        <f t="shared" si="13"/>
        <v>0</v>
      </c>
      <c r="C255" s="1140" t="str">
        <f t="shared" si="15"/>
        <v>AMMIXPACK</v>
      </c>
      <c r="D255" s="1140">
        <f t="shared" si="16"/>
        <v>1</v>
      </c>
      <c r="E255" s="1142">
        <v>247</v>
      </c>
      <c r="F255" s="1145">
        <f>IF('Design Data'!N122="","",'Design Data'!N122)</f>
      </c>
      <c r="G255" s="1161">
        <v>0</v>
      </c>
      <c r="H255" s="1069">
        <f t="shared" si="14"/>
        <v>0</v>
      </c>
      <c r="I255" s="1292"/>
    </row>
    <row r="256" spans="1:9" ht="12.75">
      <c r="A256" s="1043" t="s">
        <v>515</v>
      </c>
      <c r="B256" s="1290">
        <f t="shared" si="13"/>
        <v>0</v>
      </c>
      <c r="C256" s="1140" t="str">
        <f t="shared" si="15"/>
        <v>AMMIXPACK</v>
      </c>
      <c r="D256" s="1140">
        <f t="shared" si="16"/>
        <v>1</v>
      </c>
      <c r="E256" s="1142">
        <v>248</v>
      </c>
      <c r="F256" s="1145">
        <f>IF('Design Data'!N123="","",'Design Data'!N123)</f>
      </c>
      <c r="G256" s="1161">
        <v>0</v>
      </c>
      <c r="H256" s="1069">
        <f t="shared" si="14"/>
        <v>0</v>
      </c>
      <c r="I256" s="1292"/>
    </row>
    <row r="257" spans="1:9" ht="12.75">
      <c r="A257" s="1043" t="s">
        <v>516</v>
      </c>
      <c r="B257" s="1290">
        <f t="shared" si="13"/>
        <v>0</v>
      </c>
      <c r="C257" s="1140" t="str">
        <f t="shared" si="15"/>
        <v>AMMIXPACK</v>
      </c>
      <c r="D257" s="1140">
        <f t="shared" si="16"/>
        <v>1</v>
      </c>
      <c r="E257" s="1142">
        <v>249</v>
      </c>
      <c r="F257" s="1145">
        <f>IF('Design Data'!N124="","",'Design Data'!N124)</f>
      </c>
      <c r="G257" s="1161">
        <v>0</v>
      </c>
      <c r="H257" s="1069">
        <f t="shared" si="14"/>
        <v>0</v>
      </c>
      <c r="I257" s="1292"/>
    </row>
    <row r="258" spans="1:9" ht="12.75">
      <c r="A258" s="1043" t="s">
        <v>517</v>
      </c>
      <c r="B258" s="1290">
        <f t="shared" si="13"/>
        <v>0</v>
      </c>
      <c r="C258" s="1140" t="str">
        <f t="shared" si="15"/>
        <v>AMMIXPACK</v>
      </c>
      <c r="D258" s="1140">
        <f t="shared" si="16"/>
        <v>1</v>
      </c>
      <c r="E258" s="1142">
        <v>250</v>
      </c>
      <c r="F258" s="1145">
        <f>IF('Design Data'!N125="","",'Design Data'!N125)</f>
      </c>
      <c r="G258" s="1161">
        <v>0</v>
      </c>
      <c r="H258" s="1069">
        <f t="shared" si="14"/>
        <v>0</v>
      </c>
      <c r="I258" s="1292"/>
    </row>
    <row r="259" spans="1:9" ht="12.75">
      <c r="A259" s="1043" t="s">
        <v>518</v>
      </c>
      <c r="B259" s="1290">
        <f t="shared" si="13"/>
        <v>0</v>
      </c>
      <c r="C259" s="1140" t="str">
        <f t="shared" si="15"/>
        <v>AMMIXPACK</v>
      </c>
      <c r="D259" s="1140">
        <f t="shared" si="16"/>
        <v>1</v>
      </c>
      <c r="E259" s="1142">
        <v>251</v>
      </c>
      <c r="F259" s="1145">
        <f>IF('Design Data'!N126="","",'Design Data'!N126)</f>
      </c>
      <c r="G259" s="1161">
        <v>0</v>
      </c>
      <c r="H259" s="1069">
        <f t="shared" si="14"/>
        <v>0</v>
      </c>
      <c r="I259" s="1292"/>
    </row>
    <row r="260" spans="1:9" ht="12.75">
      <c r="A260" s="1043" t="s">
        <v>526</v>
      </c>
      <c r="B260" s="1290">
        <f t="shared" si="13"/>
        <v>0</v>
      </c>
      <c r="C260" s="1140" t="str">
        <f t="shared" si="15"/>
        <v>AMMIXPACK</v>
      </c>
      <c r="D260" s="1140">
        <f t="shared" si="16"/>
        <v>1</v>
      </c>
      <c r="E260" s="1142">
        <v>252</v>
      </c>
      <c r="F260" s="1145">
        <f>IF('Design Data'!N127="","",'Design Data'!N127)</f>
      </c>
      <c r="G260" s="1161">
        <v>0</v>
      </c>
      <c r="H260" s="1069">
        <f t="shared" si="14"/>
        <v>0</v>
      </c>
      <c r="I260" s="1292"/>
    </row>
    <row r="261" spans="1:9" ht="12.75">
      <c r="A261" s="1043" t="s">
        <v>459</v>
      </c>
      <c r="B261" s="1297">
        <f t="shared" si="13"/>
        <v>0</v>
      </c>
      <c r="C261" s="1298" t="str">
        <f t="shared" si="15"/>
        <v>AMMIXPACK</v>
      </c>
      <c r="D261" s="1298">
        <f t="shared" si="16"/>
        <v>1</v>
      </c>
      <c r="E261" s="1299">
        <v>253</v>
      </c>
      <c r="F261" s="1300"/>
      <c r="G261" s="1301">
        <f>IF('Chart Data'!T15="",0,ROUND('Chart Data'!T15,2))</f>
        <v>0</v>
      </c>
      <c r="H261" s="1301">
        <f t="shared" si="14"/>
        <v>0</v>
      </c>
      <c r="I261" s="1302"/>
    </row>
    <row r="262" ht="12.75">
      <c r="B262"/>
    </row>
  </sheetData>
  <sheetProtection/>
  <printOptions/>
  <pageMargins left="0.75" right="0.75" top="1" bottom="1" header="0.5" footer="0.5"/>
  <pageSetup fitToHeight="0" fitToWidth="1" horizontalDpi="600" verticalDpi="600" orientation="landscape" paperSize="17" scale="51" r:id="rId3"/>
  <headerFooter alignWithMargins="0">
    <oddHeader>&amp;C&amp;F</oddHeader>
    <oddFooter>&amp;L&amp;A&amp;CPage &amp;P of &amp;N</oddFooter>
  </headerFooter>
  <legacyDrawing r:id="rId2"/>
</worksheet>
</file>

<file path=xl/worksheets/sheet21.xml><?xml version="1.0" encoding="utf-8"?>
<worksheet xmlns="http://schemas.openxmlformats.org/spreadsheetml/2006/main" xmlns:r="http://schemas.openxmlformats.org/officeDocument/2006/relationships">
  <sheetPr codeName="Sheet22">
    <tabColor indexed="45"/>
    <pageSetUpPr fitToPage="1"/>
  </sheetPr>
  <dimension ref="A1:AJ8"/>
  <sheetViews>
    <sheetView zoomScale="75" zoomScaleNormal="75" zoomScalePageLayoutView="0" workbookViewId="0" topLeftCell="A1">
      <pane xSplit="2" ySplit="7" topLeftCell="C8" activePane="bottomRight" state="frozen"/>
      <selection pane="topLeft" activeCell="C9" sqref="C9"/>
      <selection pane="topRight" activeCell="C9" sqref="C9"/>
      <selection pane="bottomLeft" activeCell="C9" sqref="C9"/>
      <selection pane="bottomRight" activeCell="A10" sqref="A10"/>
    </sheetView>
  </sheetViews>
  <sheetFormatPr defaultColWidth="9.140625" defaultRowHeight="12.75"/>
  <cols>
    <col min="1" max="1" width="45.7109375" style="0" customWidth="1"/>
    <col min="2" max="2" width="22.00390625" style="0" customWidth="1"/>
    <col min="3" max="3" width="30.28125" style="0" customWidth="1"/>
    <col min="4" max="4" width="26.57421875" style="0" customWidth="1"/>
    <col min="5" max="5" width="42.7109375" style="0" customWidth="1"/>
    <col min="6" max="6" width="55.57421875" style="0" customWidth="1"/>
    <col min="7" max="7" width="30.7109375" style="0" customWidth="1"/>
    <col min="8" max="8" width="30.57421875" style="0" customWidth="1"/>
    <col min="9" max="10" width="13.57421875" style="0" customWidth="1"/>
    <col min="11" max="11" width="13.7109375" style="0" customWidth="1"/>
    <col min="12" max="12" width="62.140625" style="0" customWidth="1"/>
    <col min="13" max="13" width="17.28125" style="0" customWidth="1"/>
    <col min="14" max="14" width="18.140625" style="0" customWidth="1"/>
    <col min="15" max="15" width="17.7109375" style="0" customWidth="1"/>
    <col min="16" max="16" width="16.140625" style="0" customWidth="1"/>
    <col min="17" max="17" width="17.00390625" style="0" customWidth="1"/>
    <col min="18" max="18" width="17.28125" style="0" customWidth="1"/>
    <col min="19" max="19" width="21.00390625" style="0" customWidth="1"/>
    <col min="20" max="20" width="17.57421875" style="0" customWidth="1"/>
    <col min="21" max="21" width="11.00390625" style="0" customWidth="1"/>
    <col min="22" max="22" width="26.140625" style="0" customWidth="1"/>
    <col min="23" max="23" width="15.00390625" style="0" customWidth="1"/>
    <col min="24" max="24" width="17.57421875" style="0" customWidth="1"/>
    <col min="25" max="25" width="14.28125" style="0" customWidth="1"/>
    <col min="26" max="27" width="17.28125" style="0" customWidth="1"/>
    <col min="28" max="28" width="28.421875" style="0" customWidth="1"/>
    <col min="29" max="29" width="17.8515625" style="0" customWidth="1"/>
    <col min="30" max="30" width="26.28125" style="0" customWidth="1"/>
    <col min="31" max="31" width="16.421875" style="0" customWidth="1"/>
    <col min="32" max="32" width="20.57421875" style="0" customWidth="1"/>
    <col min="33" max="33" width="11.8515625" style="0" customWidth="1"/>
    <col min="34" max="34" width="17.7109375" style="0" customWidth="1"/>
    <col min="35" max="35" width="16.7109375" style="0" customWidth="1"/>
    <col min="36" max="36" width="14.140625" style="0" customWidth="1"/>
  </cols>
  <sheetData>
    <row r="1" spans="1:36" s="9" customFormat="1" ht="12.75" customHeight="1">
      <c r="A1" s="983" t="s">
        <v>21</v>
      </c>
      <c r="B1" s="985"/>
      <c r="C1" s="985"/>
      <c r="D1" s="985"/>
      <c r="E1" s="985"/>
      <c r="F1" s="985"/>
      <c r="G1" s="985"/>
      <c r="H1" s="985"/>
      <c r="I1" s="985"/>
      <c r="J1" s="986" t="s">
        <v>23</v>
      </c>
      <c r="K1" s="985"/>
      <c r="L1" s="985"/>
      <c r="M1" s="985"/>
      <c r="N1" s="985"/>
      <c r="O1" s="985"/>
      <c r="P1" s="985"/>
      <c r="Q1" s="985"/>
      <c r="R1" s="985"/>
      <c r="S1" s="985"/>
      <c r="T1" s="985"/>
      <c r="U1" s="985"/>
      <c r="V1" s="985"/>
      <c r="W1" s="985"/>
      <c r="X1" s="985"/>
      <c r="Y1" s="985"/>
      <c r="Z1" s="985"/>
      <c r="AA1" s="985"/>
      <c r="AB1" s="985"/>
      <c r="AC1" s="985"/>
      <c r="AD1" s="985"/>
      <c r="AE1" s="986" t="s">
        <v>23</v>
      </c>
      <c r="AF1" s="986" t="s">
        <v>23</v>
      </c>
      <c r="AG1" s="986" t="s">
        <v>23</v>
      </c>
      <c r="AH1" s="985"/>
      <c r="AI1" s="986" t="s">
        <v>22</v>
      </c>
      <c r="AJ1" s="986" t="s">
        <v>23</v>
      </c>
    </row>
    <row r="2" spans="1:36" s="9" customFormat="1" ht="12.75" customHeight="1">
      <c r="A2" s="983" t="s">
        <v>24</v>
      </c>
      <c r="B2" s="1058" t="s">
        <v>279</v>
      </c>
      <c r="C2" s="1058" t="s">
        <v>279</v>
      </c>
      <c r="D2" s="1058" t="s">
        <v>279</v>
      </c>
      <c r="E2" s="1058" t="s">
        <v>279</v>
      </c>
      <c r="F2" s="1058" t="s">
        <v>279</v>
      </c>
      <c r="G2" s="1058" t="s">
        <v>279</v>
      </c>
      <c r="H2" s="1058" t="s">
        <v>279</v>
      </c>
      <c r="I2" s="1058" t="s">
        <v>279</v>
      </c>
      <c r="J2" s="1058" t="s">
        <v>279</v>
      </c>
      <c r="K2" s="1058" t="s">
        <v>279</v>
      </c>
      <c r="L2" s="1058" t="s">
        <v>279</v>
      </c>
      <c r="M2" s="1058" t="s">
        <v>279</v>
      </c>
      <c r="N2" s="1058" t="s">
        <v>279</v>
      </c>
      <c r="O2" s="1058" t="s">
        <v>279</v>
      </c>
      <c r="P2" s="1058" t="s">
        <v>279</v>
      </c>
      <c r="Q2" s="1058" t="s">
        <v>279</v>
      </c>
      <c r="R2" s="1058" t="s">
        <v>279</v>
      </c>
      <c r="S2" s="1058" t="s">
        <v>279</v>
      </c>
      <c r="T2" s="1058" t="s">
        <v>279</v>
      </c>
      <c r="U2" s="1058" t="s">
        <v>279</v>
      </c>
      <c r="V2" s="1058" t="s">
        <v>279</v>
      </c>
      <c r="W2" s="1058" t="s">
        <v>279</v>
      </c>
      <c r="X2" s="1058" t="s">
        <v>279</v>
      </c>
      <c r="Y2" s="1058"/>
      <c r="Z2" s="1058"/>
      <c r="AA2" s="1058"/>
      <c r="AB2" s="1058"/>
      <c r="AC2" s="1058"/>
      <c r="AD2" s="1058"/>
      <c r="AE2" s="1058"/>
      <c r="AF2" s="1058"/>
      <c r="AG2" s="1058"/>
      <c r="AH2" s="1058" t="s">
        <v>279</v>
      </c>
      <c r="AI2" s="1058" t="s">
        <v>279</v>
      </c>
      <c r="AJ2" s="1058"/>
    </row>
    <row r="3" spans="1:36" s="991" customFormat="1" ht="12.75" customHeight="1" thickBot="1">
      <c r="A3" s="983" t="s">
        <v>26</v>
      </c>
      <c r="B3" s="1114" t="s">
        <v>255</v>
      </c>
      <c r="C3" s="1114" t="s">
        <v>256</v>
      </c>
      <c r="D3" s="990" t="s">
        <v>39</v>
      </c>
      <c r="E3" s="990" t="s">
        <v>42</v>
      </c>
      <c r="F3" s="990" t="s">
        <v>257</v>
      </c>
      <c r="G3" s="990" t="s">
        <v>311</v>
      </c>
      <c r="H3" s="990" t="s">
        <v>312</v>
      </c>
      <c r="I3" s="990" t="s">
        <v>238</v>
      </c>
      <c r="J3" s="1059" t="s">
        <v>258</v>
      </c>
      <c r="K3" s="990" t="s">
        <v>259</v>
      </c>
      <c r="L3" s="990" t="s">
        <v>260</v>
      </c>
      <c r="M3" s="990" t="s">
        <v>313</v>
      </c>
      <c r="N3" s="990" t="s">
        <v>314</v>
      </c>
      <c r="O3" s="990" t="s">
        <v>315</v>
      </c>
      <c r="P3" s="990" t="s">
        <v>316</v>
      </c>
      <c r="Q3" s="990" t="s">
        <v>317</v>
      </c>
      <c r="R3" s="990" t="s">
        <v>318</v>
      </c>
      <c r="S3" s="990" t="s">
        <v>319</v>
      </c>
      <c r="T3" s="990" t="s">
        <v>320</v>
      </c>
      <c r="U3" s="990" t="s">
        <v>321</v>
      </c>
      <c r="V3" s="990" t="s">
        <v>324</v>
      </c>
      <c r="W3" s="990" t="s">
        <v>325</v>
      </c>
      <c r="X3" s="990" t="s">
        <v>326</v>
      </c>
      <c r="Y3" s="990" t="s">
        <v>327</v>
      </c>
      <c r="Z3" s="990" t="s">
        <v>328</v>
      </c>
      <c r="AA3" s="990" t="s">
        <v>329</v>
      </c>
      <c r="AB3" s="990" t="s">
        <v>330</v>
      </c>
      <c r="AC3" s="990" t="s">
        <v>332</v>
      </c>
      <c r="AD3" s="990" t="s">
        <v>333</v>
      </c>
      <c r="AE3" s="990" t="s">
        <v>334</v>
      </c>
      <c r="AF3" s="990" t="s">
        <v>335</v>
      </c>
      <c r="AG3" s="990" t="s">
        <v>44</v>
      </c>
      <c r="AH3" s="990" t="s">
        <v>37</v>
      </c>
      <c r="AI3" s="990" t="s">
        <v>36</v>
      </c>
      <c r="AJ3" s="990" t="s">
        <v>336</v>
      </c>
    </row>
    <row r="4" spans="1:36" s="1000" customFormat="1" ht="166.5" thickBot="1">
      <c r="A4" s="992" t="s">
        <v>80</v>
      </c>
      <c r="B4" s="1110" t="s">
        <v>234</v>
      </c>
      <c r="C4" s="1125" t="s">
        <v>84</v>
      </c>
      <c r="D4" s="1124" t="s">
        <v>103</v>
      </c>
      <c r="E4" s="1156" t="s">
        <v>290</v>
      </c>
      <c r="F4" s="1164" t="s">
        <v>289</v>
      </c>
      <c r="G4" s="997" t="s">
        <v>1467</v>
      </c>
      <c r="H4" s="997" t="s">
        <v>1469</v>
      </c>
      <c r="I4" s="999"/>
      <c r="J4" s="996"/>
      <c r="K4" s="999"/>
      <c r="L4" s="995" t="s">
        <v>1114</v>
      </c>
      <c r="M4" s="999"/>
      <c r="N4" s="999"/>
      <c r="O4" s="999"/>
      <c r="P4" s="999"/>
      <c r="Q4" s="999"/>
      <c r="R4" s="999"/>
      <c r="S4" s="999"/>
      <c r="T4" s="999"/>
      <c r="U4" s="999"/>
      <c r="V4" s="999"/>
      <c r="W4" s="994"/>
      <c r="X4" s="999"/>
      <c r="Y4" s="999"/>
      <c r="Z4" s="999"/>
      <c r="AA4" s="999"/>
      <c r="AB4" s="997" t="s">
        <v>82</v>
      </c>
      <c r="AC4" s="999"/>
      <c r="AD4" s="997" t="s">
        <v>82</v>
      </c>
      <c r="AE4" s="996"/>
      <c r="AF4" s="996"/>
      <c r="AG4" s="996"/>
      <c r="AH4" s="994"/>
      <c r="AI4" s="996"/>
      <c r="AJ4" s="996"/>
    </row>
    <row r="5" spans="1:36" s="9" customFormat="1" ht="153.75" customHeight="1" thickBot="1">
      <c r="A5" s="992" t="s">
        <v>108</v>
      </c>
      <c r="B5" s="1107"/>
      <c r="C5" s="1115"/>
      <c r="D5" s="999"/>
      <c r="E5" s="994"/>
      <c r="F5" s="997" t="s">
        <v>19</v>
      </c>
      <c r="G5" s="999"/>
      <c r="H5" s="1003"/>
      <c r="I5" s="1156"/>
      <c r="J5" s="1002" t="s">
        <v>275</v>
      </c>
      <c r="K5" s="999"/>
      <c r="L5" s="997" t="s">
        <v>19</v>
      </c>
      <c r="M5" s="1156" t="s">
        <v>1307</v>
      </c>
      <c r="N5" s="1158" t="s">
        <v>1307</v>
      </c>
      <c r="O5" s="1156" t="s">
        <v>1308</v>
      </c>
      <c r="P5" s="999" t="s">
        <v>1470</v>
      </c>
      <c r="Q5" s="999" t="s">
        <v>1470</v>
      </c>
      <c r="R5" s="1156" t="s">
        <v>1309</v>
      </c>
      <c r="S5" s="999"/>
      <c r="T5" s="999" t="s">
        <v>1470</v>
      </c>
      <c r="U5" s="999" t="s">
        <v>1470</v>
      </c>
      <c r="V5" s="999" t="s">
        <v>1470</v>
      </c>
      <c r="W5" s="999" t="s">
        <v>1470</v>
      </c>
      <c r="X5" s="1156" t="s">
        <v>1332</v>
      </c>
      <c r="Y5" s="999" t="s">
        <v>1470</v>
      </c>
      <c r="Z5" s="999" t="s">
        <v>1470</v>
      </c>
      <c r="AA5" s="999"/>
      <c r="AB5" s="999"/>
      <c r="AC5" s="999"/>
      <c r="AD5" s="999"/>
      <c r="AE5" s="1159" t="s">
        <v>275</v>
      </c>
      <c r="AF5" s="1048" t="s">
        <v>270</v>
      </c>
      <c r="AG5" s="1048" t="s">
        <v>270</v>
      </c>
      <c r="AH5" s="994"/>
      <c r="AI5" s="996" t="s">
        <v>112</v>
      </c>
      <c r="AJ5" s="1048" t="s">
        <v>270</v>
      </c>
    </row>
    <row r="6" spans="1:36" ht="54" customHeight="1" thickBot="1">
      <c r="A6" s="1007" t="s">
        <v>117</v>
      </c>
      <c r="B6" s="1008" t="s">
        <v>138</v>
      </c>
      <c r="C6" s="1010" t="s">
        <v>261</v>
      </c>
      <c r="D6" s="1010" t="s">
        <v>130</v>
      </c>
      <c r="E6" s="1010" t="s">
        <v>262</v>
      </c>
      <c r="F6" s="1008" t="s">
        <v>263</v>
      </c>
      <c r="G6" s="1010" t="s">
        <v>280</v>
      </c>
      <c r="H6" s="1010" t="s">
        <v>281</v>
      </c>
      <c r="I6" s="1010" t="s">
        <v>239</v>
      </c>
      <c r="J6" s="1010" t="s">
        <v>264</v>
      </c>
      <c r="K6" s="1010" t="s">
        <v>265</v>
      </c>
      <c r="L6" s="1010" t="s">
        <v>266</v>
      </c>
      <c r="M6" s="1010" t="s">
        <v>282</v>
      </c>
      <c r="N6" s="1010" t="s">
        <v>283</v>
      </c>
      <c r="O6" s="1010" t="s">
        <v>284</v>
      </c>
      <c r="P6" s="1010" t="s">
        <v>285</v>
      </c>
      <c r="Q6" s="1010" t="s">
        <v>286</v>
      </c>
      <c r="R6" s="1010" t="s">
        <v>287</v>
      </c>
      <c r="S6" s="1010" t="s">
        <v>288</v>
      </c>
      <c r="T6" s="1010" t="s">
        <v>299</v>
      </c>
      <c r="U6" s="1010" t="s">
        <v>300</v>
      </c>
      <c r="V6" s="1010" t="s">
        <v>301</v>
      </c>
      <c r="W6" s="1008" t="s">
        <v>302</v>
      </c>
      <c r="X6" s="1010" t="s">
        <v>303</v>
      </c>
      <c r="Y6" s="1010" t="s">
        <v>1037</v>
      </c>
      <c r="Z6" s="1010" t="s">
        <v>1277</v>
      </c>
      <c r="AA6" s="1010" t="s">
        <v>304</v>
      </c>
      <c r="AB6" s="1010" t="s">
        <v>305</v>
      </c>
      <c r="AC6" s="1010" t="s">
        <v>306</v>
      </c>
      <c r="AD6" s="1010" t="s">
        <v>307</v>
      </c>
      <c r="AE6" s="1009" t="s">
        <v>308</v>
      </c>
      <c r="AF6" s="1009" t="s">
        <v>309</v>
      </c>
      <c r="AG6" s="1009" t="s">
        <v>215</v>
      </c>
      <c r="AH6" s="1008" t="s">
        <v>128</v>
      </c>
      <c r="AI6" s="1009" t="s">
        <v>127</v>
      </c>
      <c r="AJ6" s="1009" t="s">
        <v>310</v>
      </c>
    </row>
    <row r="7" spans="1:36" s="991" customFormat="1" ht="26.25" thickBot="1">
      <c r="A7" s="1012" t="s">
        <v>272</v>
      </c>
      <c r="B7" s="1254" t="s">
        <v>255</v>
      </c>
      <c r="C7" s="1173" t="s">
        <v>256</v>
      </c>
      <c r="D7" s="1173" t="s">
        <v>39</v>
      </c>
      <c r="E7" s="1173" t="s">
        <v>42</v>
      </c>
      <c r="F7" s="1173" t="s">
        <v>257</v>
      </c>
      <c r="G7" s="1173" t="s">
        <v>311</v>
      </c>
      <c r="H7" s="1173" t="s">
        <v>312</v>
      </c>
      <c r="I7" s="1173" t="s">
        <v>238</v>
      </c>
      <c r="J7" s="1173" t="s">
        <v>258</v>
      </c>
      <c r="K7" s="1173" t="s">
        <v>259</v>
      </c>
      <c r="L7" s="1173" t="s">
        <v>260</v>
      </c>
      <c r="M7" s="1173" t="s">
        <v>313</v>
      </c>
      <c r="N7" s="1173" t="s">
        <v>314</v>
      </c>
      <c r="O7" s="1173" t="s">
        <v>315</v>
      </c>
      <c r="P7" s="1173" t="s">
        <v>316</v>
      </c>
      <c r="Q7" s="1173" t="s">
        <v>317</v>
      </c>
      <c r="R7" s="1173" t="s">
        <v>318</v>
      </c>
      <c r="S7" s="1173" t="s">
        <v>319</v>
      </c>
      <c r="T7" s="1173" t="s">
        <v>320</v>
      </c>
      <c r="U7" s="1173" t="s">
        <v>321</v>
      </c>
      <c r="V7" s="1173" t="s">
        <v>324</v>
      </c>
      <c r="W7" s="1173" t="s">
        <v>325</v>
      </c>
      <c r="X7" s="1173" t="s">
        <v>326</v>
      </c>
      <c r="Y7" s="1173" t="s">
        <v>327</v>
      </c>
      <c r="Z7" s="1173" t="s">
        <v>328</v>
      </c>
      <c r="AA7" s="1173" t="s">
        <v>329</v>
      </c>
      <c r="AB7" s="1173" t="s">
        <v>330</v>
      </c>
      <c r="AC7" s="1173" t="s">
        <v>332</v>
      </c>
      <c r="AD7" s="1173" t="s">
        <v>333</v>
      </c>
      <c r="AE7" s="1173" t="s">
        <v>334</v>
      </c>
      <c r="AF7" s="1173" t="s">
        <v>335</v>
      </c>
      <c r="AG7" s="1173" t="s">
        <v>44</v>
      </c>
      <c r="AH7" s="1173" t="s">
        <v>37</v>
      </c>
      <c r="AI7" s="1173" t="s">
        <v>36</v>
      </c>
      <c r="AJ7" s="1284" t="s">
        <v>336</v>
      </c>
    </row>
    <row r="8" spans="1:36" ht="12.75">
      <c r="A8" s="1013"/>
      <c r="B8" s="1303">
        <f>'Design Data'!H10</f>
        <v>0</v>
      </c>
      <c r="C8" s="1285" t="s">
        <v>1462</v>
      </c>
      <c r="D8" s="1285">
        <f>'Design Data'!Q16</f>
      </c>
      <c r="E8" s="1261">
        <f>'Design Data'!Q14</f>
      </c>
      <c r="F8" s="1261">
        <f>'Design Data'!K16</f>
        <v>0</v>
      </c>
      <c r="G8" s="1285">
        <f>'Chart Data'!E48</f>
      </c>
      <c r="H8" s="1261">
        <f>'Chart Data'!M48</f>
      </c>
      <c r="I8" s="1304">
        <f>'Design Data'!H16</f>
        <v>0</v>
      </c>
      <c r="J8" s="1263">
        <v>0</v>
      </c>
      <c r="K8" s="1304">
        <f>'Design Data'!H16</f>
        <v>0</v>
      </c>
      <c r="L8" s="1261">
        <f>IF('Design Data'!S82="","",'Design Data'!S82)</f>
      </c>
      <c r="M8" s="1261">
        <f>'Design Data'!Q87</f>
      </c>
      <c r="N8" s="1261">
        <f>'Design Data'!Q89</f>
      </c>
      <c r="O8" s="1261">
        <f>'Design Data'!Q88</f>
      </c>
      <c r="P8" s="1261">
        <f>IF('Design Data'!O59="","",ROUND('Design Data'!O59,1))</f>
      </c>
      <c r="Q8" s="1261">
        <f>IF('Design Data'!O60="","",ROUND('Design Data'!O60,1))</f>
      </c>
      <c r="R8" s="1261">
        <f>IF('Design Data'!H20="N/A",0,IF('Design Data'!H20=" ",0,'Design Data'!H20))</f>
      </c>
      <c r="S8" s="1261">
        <f>IF('Design Data'!O63="",0,ROUND('Design Data'!O63,1))</f>
        <v>0</v>
      </c>
      <c r="T8" s="1261">
        <f>IF('Design Data'!O58="","",ROUND('Design Data'!O58,1))</f>
      </c>
      <c r="U8" s="1261">
        <f>IF('Design Data'!O57="","",ROUND('Design Data'!O57,1))</f>
      </c>
      <c r="V8" s="1261">
        <f>IF('Design Data'!O56="","",ROUND('Design Data'!O56,1))</f>
      </c>
      <c r="W8" s="1261">
        <f>IF('Design Data'!O72="","",ROUND('Design Data'!O72,0))</f>
      </c>
      <c r="X8" s="1261">
        <f>ROUND('Design Data'!O55,0)</f>
        <v>0</v>
      </c>
      <c r="Y8" s="1261">
        <f>IF('Design Data'!O65="",0,ROUND('Design Data'!O65,3))</f>
        <v>0</v>
      </c>
      <c r="Z8" s="1261">
        <f>IF('Design Data'!O62="",0,ROUND('Design Data'!O62,1))</f>
        <v>0</v>
      </c>
      <c r="AA8" s="1261">
        <f>'Design Data'!K18</f>
      </c>
      <c r="AB8" s="1261" t="s">
        <v>81</v>
      </c>
      <c r="AC8" s="1261">
        <f>'Design Data'!K18</f>
      </c>
      <c r="AD8" s="1261" t="s">
        <v>81</v>
      </c>
      <c r="AE8" s="1263" t="s">
        <v>905</v>
      </c>
      <c r="AF8" s="1263" t="s">
        <v>905</v>
      </c>
      <c r="AG8" s="1263" t="s">
        <v>905</v>
      </c>
      <c r="AH8" s="1261">
        <f>'Design Data'!S82</f>
        <v>0</v>
      </c>
      <c r="AI8" s="1263"/>
      <c r="AJ8" s="1272" t="s">
        <v>905</v>
      </c>
    </row>
  </sheetData>
  <sheetProtection/>
  <printOptions/>
  <pageMargins left="0.4" right="0.26" top="1" bottom="1" header="0.5" footer="0.5"/>
  <pageSetup fitToWidth="0" fitToHeight="1" horizontalDpi="600" verticalDpi="600" orientation="landscape" paperSize="17" r:id="rId3"/>
  <headerFooter alignWithMargins="0">
    <oddHeader>&amp;C&amp;F</oddHeader>
    <oddFooter>&amp;L&amp;A&amp;CPage &amp;P of &amp;N</oddFooter>
  </headerFooter>
  <legacyDrawing r:id="rId2"/>
</worksheet>
</file>

<file path=xl/worksheets/sheet22.xml><?xml version="1.0" encoding="utf-8"?>
<worksheet xmlns="http://schemas.openxmlformats.org/spreadsheetml/2006/main" xmlns:r="http://schemas.openxmlformats.org/officeDocument/2006/relationships">
  <sheetPr codeName="Sheet23">
    <tabColor indexed="45"/>
    <pageSetUpPr fitToPage="1"/>
  </sheetPr>
  <dimension ref="A1:AJ14"/>
  <sheetViews>
    <sheetView zoomScale="75" zoomScaleNormal="75" zoomScalePageLayoutView="0" workbookViewId="0" topLeftCell="A1">
      <pane xSplit="2" ySplit="7" topLeftCell="C8" activePane="bottomRight" state="frozen"/>
      <selection pane="topLeft" activeCell="C9" sqref="C9"/>
      <selection pane="topRight" activeCell="C9" sqref="C9"/>
      <selection pane="bottomLeft" activeCell="C9" sqref="C9"/>
      <selection pane="bottomRight" activeCell="A16" sqref="A16"/>
    </sheetView>
  </sheetViews>
  <sheetFormatPr defaultColWidth="9.140625" defaultRowHeight="12.75"/>
  <cols>
    <col min="1" max="1" width="45.7109375" style="0" customWidth="1"/>
    <col min="2" max="2" width="22.00390625" style="0" customWidth="1"/>
    <col min="3" max="3" width="30.00390625" style="0" customWidth="1"/>
    <col min="4" max="4" width="27.57421875" style="0" customWidth="1"/>
    <col min="5" max="5" width="39.8515625" style="0" customWidth="1"/>
    <col min="6" max="6" width="44.28125" style="0" customWidth="1"/>
    <col min="7" max="7" width="11.00390625" style="0" customWidth="1"/>
    <col min="8" max="8" width="19.421875" style="0" bestFit="1" customWidth="1"/>
    <col min="9" max="9" width="18.28125" style="0" customWidth="1"/>
    <col min="10" max="10" width="28.57421875" style="0" customWidth="1"/>
    <col min="11" max="11" width="17.7109375" style="0" customWidth="1"/>
    <col min="12" max="12" width="18.8515625" style="0" bestFit="1" customWidth="1"/>
    <col min="13" max="13" width="11.00390625" style="0" customWidth="1"/>
    <col min="14" max="21" width="11.421875" style="0" customWidth="1"/>
    <col min="22" max="22" width="12.140625" style="0" customWidth="1"/>
    <col min="23" max="23" width="11.8515625" style="0" customWidth="1"/>
    <col min="24" max="31" width="12.140625" style="0" customWidth="1"/>
    <col min="32" max="32" width="12.57421875" style="0" customWidth="1"/>
    <col min="33" max="33" width="12.140625" style="0" customWidth="1"/>
    <col min="34" max="36" width="12.57421875" style="0" customWidth="1"/>
  </cols>
  <sheetData>
    <row r="1" spans="1:12" s="9" customFormat="1" ht="12.75" customHeight="1">
      <c r="A1" s="983" t="s">
        <v>21</v>
      </c>
      <c r="B1" s="985"/>
      <c r="C1" s="985"/>
      <c r="D1" s="985"/>
      <c r="E1" s="985"/>
      <c r="F1" s="986" t="s">
        <v>23</v>
      </c>
      <c r="G1" s="985"/>
      <c r="H1" s="985"/>
      <c r="I1" s="985"/>
      <c r="J1" s="985"/>
      <c r="K1" s="985"/>
      <c r="L1" s="986" t="s">
        <v>22</v>
      </c>
    </row>
    <row r="2" spans="1:12" s="9" customFormat="1" ht="12.75" customHeight="1">
      <c r="A2" s="983" t="s">
        <v>24</v>
      </c>
      <c r="B2" s="1058" t="s">
        <v>344</v>
      </c>
      <c r="C2" s="1058" t="s">
        <v>344</v>
      </c>
      <c r="D2" s="1058" t="s">
        <v>344</v>
      </c>
      <c r="E2" s="1058" t="s">
        <v>344</v>
      </c>
      <c r="F2" s="1058" t="s">
        <v>344</v>
      </c>
      <c r="G2" s="1058" t="s">
        <v>344</v>
      </c>
      <c r="H2" s="1058" t="s">
        <v>344</v>
      </c>
      <c r="I2" s="1058" t="s">
        <v>344</v>
      </c>
      <c r="J2" s="1058" t="s">
        <v>344</v>
      </c>
      <c r="K2" s="1058" t="s">
        <v>344</v>
      </c>
      <c r="L2" s="1058" t="s">
        <v>344</v>
      </c>
    </row>
    <row r="3" spans="1:12" s="991" customFormat="1" ht="12.75" customHeight="1" thickBot="1">
      <c r="A3" s="983" t="s">
        <v>26</v>
      </c>
      <c r="B3" s="1114" t="s">
        <v>255</v>
      </c>
      <c r="C3" s="1114" t="s">
        <v>256</v>
      </c>
      <c r="D3" s="1114" t="s">
        <v>39</v>
      </c>
      <c r="E3" s="1114" t="s">
        <v>42</v>
      </c>
      <c r="F3" s="990" t="s">
        <v>341</v>
      </c>
      <c r="G3" s="990" t="s">
        <v>342</v>
      </c>
      <c r="H3" s="990" t="s">
        <v>328</v>
      </c>
      <c r="I3" s="990" t="s">
        <v>343</v>
      </c>
      <c r="J3" s="990" t="s">
        <v>27</v>
      </c>
      <c r="K3" s="990" t="s">
        <v>37</v>
      </c>
      <c r="L3" s="990" t="s">
        <v>36</v>
      </c>
    </row>
    <row r="4" spans="1:12" s="1000" customFormat="1" ht="83.25" customHeight="1" thickBot="1">
      <c r="A4" s="992" t="s">
        <v>80</v>
      </c>
      <c r="B4" s="1110" t="s">
        <v>234</v>
      </c>
      <c r="C4" s="1117" t="s">
        <v>84</v>
      </c>
      <c r="D4" s="1129" t="s">
        <v>103</v>
      </c>
      <c r="E4" s="1125" t="s">
        <v>291</v>
      </c>
      <c r="F4" s="1126"/>
      <c r="G4" s="999"/>
      <c r="H4" s="1060"/>
      <c r="I4" s="999"/>
      <c r="J4" s="1003" t="s">
        <v>1468</v>
      </c>
      <c r="K4" s="994"/>
      <c r="L4" s="996"/>
    </row>
    <row r="5" spans="1:12" s="9" customFormat="1" ht="51.75" thickBot="1">
      <c r="A5" s="992" t="s">
        <v>108</v>
      </c>
      <c r="B5" s="1127" t="s">
        <v>1893</v>
      </c>
      <c r="C5" s="1128" t="s">
        <v>1893</v>
      </c>
      <c r="D5" s="1127" t="s">
        <v>1893</v>
      </c>
      <c r="E5" s="1127" t="s">
        <v>1893</v>
      </c>
      <c r="F5" s="1048" t="s">
        <v>270</v>
      </c>
      <c r="G5" s="999" t="s">
        <v>1470</v>
      </c>
      <c r="H5" s="1003" t="s">
        <v>1470</v>
      </c>
      <c r="I5" s="1003" t="s">
        <v>1405</v>
      </c>
      <c r="J5" s="1066"/>
      <c r="K5" s="994"/>
      <c r="L5" s="996" t="s">
        <v>112</v>
      </c>
    </row>
    <row r="6" spans="1:12" ht="54" customHeight="1" thickBot="1">
      <c r="A6" s="1007" t="s">
        <v>117</v>
      </c>
      <c r="B6" s="1008" t="s">
        <v>138</v>
      </c>
      <c r="C6" s="1009" t="s">
        <v>261</v>
      </c>
      <c r="D6" s="1010" t="s">
        <v>130</v>
      </c>
      <c r="E6" s="1010" t="s">
        <v>262</v>
      </c>
      <c r="F6" s="1011" t="s">
        <v>337</v>
      </c>
      <c r="G6" s="1010" t="s">
        <v>338</v>
      </c>
      <c r="H6" s="1010" t="s">
        <v>339</v>
      </c>
      <c r="I6" s="1010" t="s">
        <v>340</v>
      </c>
      <c r="J6" s="1010" t="s">
        <v>1286</v>
      </c>
      <c r="K6" s="1008" t="s">
        <v>128</v>
      </c>
      <c r="L6" s="1009" t="s">
        <v>127</v>
      </c>
    </row>
    <row r="7" spans="1:36" s="991" customFormat="1" ht="26.25" thickBot="1">
      <c r="A7" s="1063" t="s">
        <v>272</v>
      </c>
      <c r="B7" s="1305" t="s">
        <v>255</v>
      </c>
      <c r="C7" s="1306" t="s">
        <v>256</v>
      </c>
      <c r="D7" s="1306" t="s">
        <v>39</v>
      </c>
      <c r="E7" s="1306" t="s">
        <v>42</v>
      </c>
      <c r="F7" s="1306" t="s">
        <v>341</v>
      </c>
      <c r="G7" s="1306" t="s">
        <v>342</v>
      </c>
      <c r="H7" s="1306" t="s">
        <v>328</v>
      </c>
      <c r="I7" s="1306" t="s">
        <v>343</v>
      </c>
      <c r="J7" s="1306" t="s">
        <v>27</v>
      </c>
      <c r="K7" s="1306" t="s">
        <v>37</v>
      </c>
      <c r="L7" s="1307" t="s">
        <v>36</v>
      </c>
      <c r="M7" s="1148" t="s">
        <v>156</v>
      </c>
      <c r="N7" s="1148" t="s">
        <v>157</v>
      </c>
      <c r="O7" s="1148" t="s">
        <v>158</v>
      </c>
      <c r="P7" s="1148" t="s">
        <v>159</v>
      </c>
      <c r="Q7" s="1148" t="s">
        <v>160</v>
      </c>
      <c r="R7" s="1148" t="s">
        <v>161</v>
      </c>
      <c r="S7" s="1148" t="s">
        <v>162</v>
      </c>
      <c r="T7" s="1148" t="s">
        <v>163</v>
      </c>
      <c r="U7" s="1148" t="s">
        <v>164</v>
      </c>
      <c r="V7" s="1148" t="s">
        <v>165</v>
      </c>
      <c r="W7" s="1148" t="s">
        <v>166</v>
      </c>
      <c r="X7" s="1148" t="s">
        <v>167</v>
      </c>
      <c r="Y7" s="1148" t="s">
        <v>168</v>
      </c>
      <c r="Z7" s="1148" t="s">
        <v>169</v>
      </c>
      <c r="AA7" s="1148" t="s">
        <v>171</v>
      </c>
      <c r="AB7" s="1148" t="s">
        <v>172</v>
      </c>
      <c r="AC7" s="1148" t="s">
        <v>173</v>
      </c>
      <c r="AD7" s="1148" t="s">
        <v>174</v>
      </c>
      <c r="AE7" s="1148" t="s">
        <v>175</v>
      </c>
      <c r="AF7" s="1148" t="s">
        <v>176</v>
      </c>
      <c r="AG7" s="1148" t="s">
        <v>177</v>
      </c>
      <c r="AH7" s="1148" t="s">
        <v>178</v>
      </c>
      <c r="AI7" s="1148" t="s">
        <v>179</v>
      </c>
      <c r="AJ7" s="1148" t="s">
        <v>180</v>
      </c>
    </row>
    <row r="8" spans="1:36" ht="12.75">
      <c r="A8" s="1013" t="s">
        <v>85</v>
      </c>
      <c r="B8" s="1138">
        <f>IF(D8="","",IF(E8="","",'Design Data'!H10))</f>
      </c>
      <c r="C8" s="1150">
        <f>IF(B8="","","SUP")</f>
      </c>
      <c r="D8" s="1152">
        <f>IF('Design Data'!C20="","",'Design Data'!C20)</f>
      </c>
      <c r="E8" s="1143">
        <f>IF('Design Data'!H18="","",'Design Data'!H18)</f>
      </c>
      <c r="F8" s="1139" t="s">
        <v>905</v>
      </c>
      <c r="G8" s="1143">
        <f>IF('Design Data'!O63="",0,ROUND('Design Data'!O63,1))</f>
        <v>0</v>
      </c>
      <c r="H8" s="1143">
        <f>ROUND('Design Data'!O25,3)</f>
        <v>1.03</v>
      </c>
      <c r="I8" s="1153" t="s">
        <v>2124</v>
      </c>
      <c r="J8" s="1177">
        <f>IF('Design Data'!N127="","",IF('Design Data'!N127="N/A","",'Design Data'!N127))</f>
      </c>
      <c r="K8" s="1143">
        <f>'Design Data'!S82</f>
        <v>0</v>
      </c>
      <c r="L8" s="1139"/>
      <c r="M8" s="1136"/>
      <c r="N8" s="1136"/>
      <c r="O8" s="1136"/>
      <c r="P8" s="1136"/>
      <c r="Q8" s="1136"/>
      <c r="R8" s="1136"/>
      <c r="S8" s="1136"/>
      <c r="T8" s="1136"/>
      <c r="U8" s="1136"/>
      <c r="V8" s="1136"/>
      <c r="W8" s="1136"/>
      <c r="X8" s="1136"/>
      <c r="Y8" s="1136"/>
      <c r="Z8" s="1136"/>
      <c r="AA8" s="1136"/>
      <c r="AB8" s="1136"/>
      <c r="AC8" s="1136"/>
      <c r="AD8" s="1136"/>
      <c r="AE8" s="1136"/>
      <c r="AF8" s="1136"/>
      <c r="AG8" s="1136"/>
      <c r="AH8" s="1136"/>
      <c r="AI8" s="1136"/>
      <c r="AJ8" s="1136"/>
    </row>
    <row r="9" spans="1:36" ht="12.75">
      <c r="A9" s="1013" t="s">
        <v>86</v>
      </c>
      <c r="B9" s="1149">
        <f>IF(D9="","",IF(E9="","",'Design Data'!H10))</f>
      </c>
      <c r="C9" s="1151">
        <f aca="true" t="shared" si="0" ref="C9:C14">IF(B9="","","SUP")</f>
      </c>
      <c r="D9" s="1145">
        <f>IF('Design Data'!H23="","",'Design Data'!H23)</f>
      </c>
      <c r="E9" s="1057">
        <f>IF('Design Data'!A23="","",'Design Data'!A23)</f>
      </c>
      <c r="F9" s="1140" t="s">
        <v>905</v>
      </c>
      <c r="G9" s="1057">
        <f>IF('Design Data'!M23="",0,ROUND('Design Data'!M23,0))</f>
        <v>0</v>
      </c>
      <c r="H9" s="1057">
        <f>IF('Design Data'!L23="",0,ROUND('Design Data'!L23,2))</f>
        <v>0</v>
      </c>
      <c r="I9" s="1057">
        <f>IF('Design Data'!M113="","",'Design Data'!M113)</f>
      </c>
      <c r="J9" s="1178">
        <f>IF('Design Data'!N113="","",IF('Design Data'!N113="N/A","",'Design Data'!N113))</f>
      </c>
      <c r="K9" s="1057">
        <f aca="true" t="shared" si="1" ref="K9:K14">K8</f>
        <v>0</v>
      </c>
      <c r="L9" s="1140"/>
      <c r="M9" s="1136"/>
      <c r="N9" s="1136"/>
      <c r="O9" s="1136"/>
      <c r="P9" s="1136"/>
      <c r="Q9" s="1136"/>
      <c r="R9" s="1136"/>
      <c r="S9" s="1136"/>
      <c r="T9" s="1136"/>
      <c r="U9" s="1136"/>
      <c r="V9" s="1136"/>
      <c r="W9" s="1136"/>
      <c r="X9" s="1136"/>
      <c r="Y9" s="1136"/>
      <c r="Z9" s="1136"/>
      <c r="AA9" s="1136"/>
      <c r="AB9" s="1136"/>
      <c r="AC9" s="1136"/>
      <c r="AD9" s="1136"/>
      <c r="AE9" s="1136"/>
      <c r="AF9" s="1136"/>
      <c r="AG9" s="1136"/>
      <c r="AH9" s="1136"/>
      <c r="AI9" s="1136"/>
      <c r="AJ9" s="1136"/>
    </row>
    <row r="10" spans="1:36" ht="12.75">
      <c r="A10" s="1064" t="s">
        <v>87</v>
      </c>
      <c r="B10" s="1149">
        <f>IF(D10="","",IF(E10="","",'Design Data'!H10))</f>
      </c>
      <c r="C10" s="1151">
        <f t="shared" si="0"/>
      </c>
      <c r="D10" s="1145">
        <f>IF('Design Data'!H24="","",'Design Data'!H24)</f>
      </c>
      <c r="E10" s="1057">
        <f>IF('Design Data'!A24="","",'Design Data'!A24)</f>
      </c>
      <c r="F10" s="1140" t="s">
        <v>905</v>
      </c>
      <c r="G10" s="1057">
        <f>IF('Design Data'!M24="",0,ROUND('Design Data'!M24,0))</f>
        <v>0</v>
      </c>
      <c r="H10" s="1057">
        <f>IF('Design Data'!L24="",0,ROUND('Design Data'!L24,2))</f>
        <v>0</v>
      </c>
      <c r="I10" s="1057">
        <f>IF('Design Data'!M114="","",'Design Data'!M114)</f>
      </c>
      <c r="J10" s="1178">
        <f>IF('Design Data'!N114="","",IF('Design Data'!N114="N/A","",'Design Data'!N114))</f>
      </c>
      <c r="K10" s="1057">
        <f t="shared" si="1"/>
        <v>0</v>
      </c>
      <c r="L10" s="1140"/>
      <c r="M10" s="1136"/>
      <c r="N10" s="1136"/>
      <c r="O10" s="1136"/>
      <c r="P10" s="1136"/>
      <c r="Q10" s="1136"/>
      <c r="R10" s="1136"/>
      <c r="S10" s="1136"/>
      <c r="T10" s="1136"/>
      <c r="U10" s="1136"/>
      <c r="V10" s="1136"/>
      <c r="W10" s="1136"/>
      <c r="X10" s="1136"/>
      <c r="Y10" s="1136"/>
      <c r="Z10" s="1136"/>
      <c r="AA10" s="1136"/>
      <c r="AB10" s="1136"/>
      <c r="AC10" s="1136"/>
      <c r="AD10" s="1136"/>
      <c r="AE10" s="1136"/>
      <c r="AF10" s="1136"/>
      <c r="AG10" s="1136"/>
      <c r="AH10" s="1136"/>
      <c r="AI10" s="1136"/>
      <c r="AJ10" s="1136"/>
    </row>
    <row r="11" spans="1:36" ht="12.75">
      <c r="A11" s="1064" t="s">
        <v>88</v>
      </c>
      <c r="B11" s="1149">
        <f>IF(D11="","",IF(E11="","",'Design Data'!H10))</f>
      </c>
      <c r="C11" s="1151">
        <f t="shared" si="0"/>
      </c>
      <c r="D11" s="1145">
        <f>IF('Design Data'!H25="","",'Design Data'!H25)</f>
      </c>
      <c r="E11" s="1057">
        <f>IF('Design Data'!A25="","",'Design Data'!A25)</f>
      </c>
      <c r="F11" s="1140" t="s">
        <v>905</v>
      </c>
      <c r="G11" s="1057">
        <f>IF('Design Data'!M25="",0,ROUND('Design Data'!M25,0))</f>
        <v>0</v>
      </c>
      <c r="H11" s="1057">
        <f>IF('Design Data'!L25="",0,ROUND('Design Data'!L25,2))</f>
        <v>0</v>
      </c>
      <c r="I11" s="1057">
        <f>IF('Design Data'!M115="","",'Design Data'!M115)</f>
      </c>
      <c r="J11" s="1178">
        <f>IF('Design Data'!N115="","",IF('Design Data'!N115="N/A","",'Design Data'!N115))</f>
      </c>
      <c r="K11" s="1057">
        <f t="shared" si="1"/>
        <v>0</v>
      </c>
      <c r="L11" s="1140"/>
      <c r="M11" s="1136"/>
      <c r="N11" s="1136"/>
      <c r="O11" s="1136"/>
      <c r="P11" s="1136"/>
      <c r="Q11" s="1136"/>
      <c r="R11" s="1136"/>
      <c r="S11" s="1136"/>
      <c r="T11" s="1136"/>
      <c r="U11" s="1136"/>
      <c r="V11" s="1136"/>
      <c r="W11" s="1136"/>
      <c r="X11" s="1136"/>
      <c r="Y11" s="1136"/>
      <c r="Z11" s="1136"/>
      <c r="AA11" s="1136"/>
      <c r="AB11" s="1136"/>
      <c r="AC11" s="1136"/>
      <c r="AD11" s="1136"/>
      <c r="AE11" s="1136"/>
      <c r="AF11" s="1136"/>
      <c r="AG11" s="1136"/>
      <c r="AH11" s="1136"/>
      <c r="AI11" s="1136"/>
      <c r="AJ11" s="1136"/>
    </row>
    <row r="12" spans="1:36" ht="12.75">
      <c r="A12" s="1064" t="s">
        <v>89</v>
      </c>
      <c r="B12" s="1149">
        <f>IF(D12="","",IF(E12="","",'Design Data'!H10))</f>
      </c>
      <c r="C12" s="1151">
        <f t="shared" si="0"/>
      </c>
      <c r="D12" s="1145">
        <f>IF('Design Data'!H26="","",'Design Data'!H26)</f>
      </c>
      <c r="E12" s="1057">
        <f>IF('Design Data'!A26="","",'Design Data'!A26)</f>
      </c>
      <c r="F12" s="1140" t="s">
        <v>905</v>
      </c>
      <c r="G12" s="1057">
        <f>IF('Design Data'!M26="",0,ROUND('Design Data'!M26,0))</f>
        <v>0</v>
      </c>
      <c r="H12" s="1057">
        <f>IF('Design Data'!L26="",0,ROUND('Design Data'!L26,2))</f>
        <v>0</v>
      </c>
      <c r="I12" s="1057">
        <f>IF('Design Data'!M116="","",'Design Data'!M116)</f>
      </c>
      <c r="J12" s="1178">
        <f>IF('Design Data'!N116="","",IF('Design Data'!N116="N/A","",'Design Data'!N116))</f>
      </c>
      <c r="K12" s="1057">
        <f t="shared" si="1"/>
        <v>0</v>
      </c>
      <c r="L12" s="1140"/>
      <c r="M12" s="1136"/>
      <c r="N12" s="1136"/>
      <c r="O12" s="1136"/>
      <c r="P12" s="1136"/>
      <c r="Q12" s="1136"/>
      <c r="R12" s="1136"/>
      <c r="S12" s="1136"/>
      <c r="T12" s="1136"/>
      <c r="U12" s="1136"/>
      <c r="V12" s="1136"/>
      <c r="W12" s="1136"/>
      <c r="X12" s="1136"/>
      <c r="Y12" s="1136"/>
      <c r="Z12" s="1136"/>
      <c r="AA12" s="1136"/>
      <c r="AB12" s="1136"/>
      <c r="AC12" s="1136"/>
      <c r="AD12" s="1136"/>
      <c r="AE12" s="1136"/>
      <c r="AF12" s="1136"/>
      <c r="AG12" s="1136"/>
      <c r="AH12" s="1136"/>
      <c r="AI12" s="1136"/>
      <c r="AJ12" s="1136"/>
    </row>
    <row r="13" spans="1:36" ht="12.75">
      <c r="A13" s="1064" t="s">
        <v>90</v>
      </c>
      <c r="B13" s="1149">
        <f>IF(D13="","",IF(E13="","",'Design Data'!H10))</f>
      </c>
      <c r="C13" s="1151">
        <f t="shared" si="0"/>
      </c>
      <c r="D13" s="1145">
        <f>IF('Design Data'!H27="","",'Design Data'!H27)</f>
      </c>
      <c r="E13" s="1057">
        <f>IF('Design Data'!A27="","",'Design Data'!A27)</f>
      </c>
      <c r="F13" s="1140" t="s">
        <v>905</v>
      </c>
      <c r="G13" s="1057">
        <f>IF('Design Data'!M27="",0,ROUND('Design Data'!M27,0))</f>
        <v>0</v>
      </c>
      <c r="H13" s="1057">
        <f>IF('Design Data'!L27="",0,ROUND('Design Data'!L27,2))</f>
        <v>0</v>
      </c>
      <c r="I13" s="1057">
        <f>IF('Design Data'!M117="","",'Design Data'!M117)</f>
      </c>
      <c r="J13" s="1178">
        <f>IF('Design Data'!N117="","",IF('Design Data'!N117="N/A","",'Design Data'!N117))</f>
      </c>
      <c r="K13" s="1057">
        <f t="shared" si="1"/>
        <v>0</v>
      </c>
      <c r="L13" s="1140"/>
      <c r="M13" s="1136"/>
      <c r="N13" s="1136"/>
      <c r="O13" s="1136"/>
      <c r="P13" s="1136"/>
      <c r="Q13" s="1136"/>
      <c r="R13" s="1136"/>
      <c r="S13" s="1136"/>
      <c r="T13" s="1136"/>
      <c r="U13" s="1136"/>
      <c r="V13" s="1136"/>
      <c r="W13" s="1136"/>
      <c r="X13" s="1136"/>
      <c r="Y13" s="1136"/>
      <c r="Z13" s="1136"/>
      <c r="AA13" s="1136"/>
      <c r="AB13" s="1136"/>
      <c r="AC13" s="1136"/>
      <c r="AD13" s="1136"/>
      <c r="AE13" s="1136"/>
      <c r="AF13" s="1136"/>
      <c r="AG13" s="1136"/>
      <c r="AH13" s="1136"/>
      <c r="AI13" s="1136"/>
      <c r="AJ13" s="1136"/>
    </row>
    <row r="14" spans="1:36" ht="12.75">
      <c r="A14" s="1064" t="s">
        <v>91</v>
      </c>
      <c r="B14" s="1308">
        <f>IF(D14="","",IF(E14="","",'Design Data'!H10))</f>
      </c>
      <c r="C14" s="1300">
        <f t="shared" si="0"/>
      </c>
      <c r="D14" s="1309">
        <f>IF('Design Data'!H28="","",'Design Data'!H28)</f>
      </c>
      <c r="E14" s="1310">
        <f>IF('Design Data'!A28="","",'Design Data'!A28)</f>
      </c>
      <c r="F14" s="1298" t="s">
        <v>905</v>
      </c>
      <c r="G14" s="1310">
        <f>IF('Design Data'!M28="",0,ROUND('Design Data'!M28,0))</f>
        <v>0</v>
      </c>
      <c r="H14" s="1310">
        <f>IF('Design Data'!L28="",0,ROUND('Design Data'!L28,2))</f>
        <v>0</v>
      </c>
      <c r="I14" s="1310">
        <f>IF('Design Data'!M118="","",'Design Data'!M118)</f>
      </c>
      <c r="J14" s="1311">
        <f>IF('Design Data'!N118="","",IF('Design Data'!N118="N/A","",'Design Data'!N118))</f>
      </c>
      <c r="K14" s="1310">
        <f t="shared" si="1"/>
        <v>0</v>
      </c>
      <c r="L14" s="1298"/>
      <c r="M14" s="1136"/>
      <c r="N14" s="1136"/>
      <c r="O14" s="1136"/>
      <c r="P14" s="1136"/>
      <c r="Q14" s="1136"/>
      <c r="R14" s="1136"/>
      <c r="S14" s="1136"/>
      <c r="T14" s="1136"/>
      <c r="U14" s="1136"/>
      <c r="V14" s="1136"/>
      <c r="W14" s="1136"/>
      <c r="X14" s="1136"/>
      <c r="Y14" s="1136"/>
      <c r="Z14" s="1136"/>
      <c r="AA14" s="1136"/>
      <c r="AB14" s="1136"/>
      <c r="AC14" s="1136"/>
      <c r="AD14" s="1136"/>
      <c r="AE14" s="1136"/>
      <c r="AF14" s="1136"/>
      <c r="AG14" s="1136"/>
      <c r="AH14" s="1136"/>
      <c r="AI14" s="1136"/>
      <c r="AJ14" s="1136"/>
    </row>
  </sheetData>
  <sheetProtection/>
  <printOptions/>
  <pageMargins left="0.4" right="0.26" top="1" bottom="1" header="0.5" footer="0.5"/>
  <pageSetup fitToWidth="0" fitToHeight="1" horizontalDpi="600" verticalDpi="600" orientation="landscape" paperSize="17" r:id="rId3"/>
  <headerFooter alignWithMargins="0">
    <oddHeader>&amp;C&amp;F</oddHeader>
    <oddFooter>&amp;L&amp;A&amp;CPage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9"/>
  <dimension ref="A1:K44"/>
  <sheetViews>
    <sheetView zoomScale="125" zoomScaleNormal="125" zoomScalePageLayoutView="0" workbookViewId="0" topLeftCell="A1">
      <selection activeCell="A1" sqref="A1"/>
    </sheetView>
  </sheetViews>
  <sheetFormatPr defaultColWidth="9.140625" defaultRowHeight="12.75"/>
  <cols>
    <col min="1" max="1" width="15.57421875" style="0" customWidth="1"/>
    <col min="2" max="7" width="14.7109375" style="0" customWidth="1"/>
  </cols>
  <sheetData>
    <row r="1" spans="1:7" ht="13.5" thickTop="1">
      <c r="A1" s="1391"/>
      <c r="B1" s="1392"/>
      <c r="C1" s="1392"/>
      <c r="D1" s="1392"/>
      <c r="E1" s="1392"/>
      <c r="F1" s="1392"/>
      <c r="G1" s="1393" t="s">
        <v>2557</v>
      </c>
    </row>
    <row r="2" spans="1:7" ht="15">
      <c r="A2" s="1394" t="s">
        <v>906</v>
      </c>
      <c r="B2" s="1395"/>
      <c r="C2" s="1395"/>
      <c r="D2" s="1395"/>
      <c r="E2" s="1395"/>
      <c r="F2" s="1395"/>
      <c r="G2" s="1396"/>
    </row>
    <row r="3" spans="1:7" ht="15">
      <c r="A3" s="1394" t="s">
        <v>907</v>
      </c>
      <c r="B3" s="1395"/>
      <c r="C3" s="1395"/>
      <c r="D3" s="1395"/>
      <c r="E3" s="1395"/>
      <c r="F3" s="1395"/>
      <c r="G3" s="1396"/>
    </row>
    <row r="4" spans="1:7" ht="15">
      <c r="A4" s="1394" t="s">
        <v>908</v>
      </c>
      <c r="B4" s="1395"/>
      <c r="C4" s="1395"/>
      <c r="D4" s="1395"/>
      <c r="E4" s="1395"/>
      <c r="F4" s="1395"/>
      <c r="G4" s="1396"/>
    </row>
    <row r="5" spans="1:7" ht="13.5" thickBot="1">
      <c r="A5" s="1397"/>
      <c r="B5" s="1398"/>
      <c r="C5" s="1398"/>
      <c r="D5" s="1398"/>
      <c r="E5" s="1398"/>
      <c r="F5" s="1398"/>
      <c r="G5" s="1399"/>
    </row>
    <row r="6" spans="1:7" ht="13.5" thickTop="1">
      <c r="A6" s="79"/>
      <c r="B6" s="79"/>
      <c r="C6" s="79"/>
      <c r="D6" s="79"/>
      <c r="E6" s="1346"/>
      <c r="F6" s="1347"/>
      <c r="G6" s="79"/>
    </row>
    <row r="7" spans="1:11" ht="12.75">
      <c r="A7" s="1400" t="s">
        <v>1083</v>
      </c>
      <c r="B7" s="1445">
        <f>IF('Design Data'!$H$10="","",'Design Data'!H10)</f>
      </c>
      <c r="C7" s="1401" t="s">
        <v>1010</v>
      </c>
      <c r="D7" s="1402">
        <f>IF('Design Data'!$K$10="","",'Design Data'!$K$10)</f>
      </c>
      <c r="E7" s="1401" t="s">
        <v>2413</v>
      </c>
      <c r="F7" s="1609">
        <f>IF('Chart Data'!$W$14="","",'Chart Data'!$W$14)</f>
      </c>
      <c r="G7" s="1609"/>
      <c r="H7" s="1320"/>
      <c r="I7" s="1320"/>
      <c r="J7" s="1320"/>
      <c r="K7" s="1312"/>
    </row>
    <row r="8" spans="1:7" ht="12.75">
      <c r="A8" s="1400" t="s">
        <v>1233</v>
      </c>
      <c r="B8" s="1402" t="str">
        <f>'Design Data'!$C$14</f>
        <v>Enter Project(s) &amp; Line Item(s)</v>
      </c>
      <c r="C8" s="79"/>
      <c r="D8" s="1402"/>
      <c r="E8" s="1402"/>
      <c r="F8" s="1609"/>
      <c r="G8" s="1609"/>
    </row>
    <row r="9" spans="1:7" ht="12.75">
      <c r="A9" s="1403"/>
      <c r="B9" s="1402" t="str">
        <f>'Design Data'!$C$15</f>
        <v>On 'Project Items' Tab.</v>
      </c>
      <c r="C9" s="79"/>
      <c r="D9" s="1402"/>
      <c r="E9" s="1402"/>
      <c r="F9" s="1402"/>
      <c r="G9" s="1402"/>
    </row>
    <row r="10" spans="1:7" ht="12.75">
      <c r="A10" s="1400" t="s">
        <v>1238</v>
      </c>
      <c r="B10" s="1404">
        <f>'Design Data'!$I$15</f>
      </c>
      <c r="C10" s="79"/>
      <c r="D10" s="1402"/>
      <c r="E10" s="1401" t="s">
        <v>2469</v>
      </c>
      <c r="F10" s="1402"/>
      <c r="G10" s="1402"/>
    </row>
    <row r="11" spans="1:7" ht="12.75">
      <c r="A11" s="1402"/>
      <c r="B11" s="1402"/>
      <c r="C11" s="1402"/>
      <c r="D11" s="1402"/>
      <c r="E11" s="1402"/>
      <c r="F11" s="1402"/>
      <c r="G11" s="1402"/>
    </row>
    <row r="12" spans="1:7" ht="12.75">
      <c r="A12" s="1608" t="s">
        <v>2409</v>
      </c>
      <c r="B12" s="1608"/>
      <c r="C12" s="1608"/>
      <c r="D12" s="1608"/>
      <c r="E12" s="1608"/>
      <c r="F12" s="1608"/>
      <c r="G12" s="1608"/>
    </row>
    <row r="13" spans="1:7" ht="6" customHeight="1" thickBot="1">
      <c r="A13" s="79"/>
      <c r="B13" s="79"/>
      <c r="C13" s="79"/>
      <c r="D13" s="79"/>
      <c r="E13" s="79"/>
      <c r="F13" s="79"/>
      <c r="G13" s="79"/>
    </row>
    <row r="14" spans="1:7" ht="30" customHeight="1" thickTop="1">
      <c r="A14" s="1405" t="s">
        <v>2392</v>
      </c>
      <c r="B14" s="1448">
        <f>IF('Design Data'!J23="","",'Design Data'!J23)</f>
      </c>
      <c r="C14" s="1448">
        <f>IF('Design Data'!J24="","",'Design Data'!J24)</f>
      </c>
      <c r="D14" s="1448">
        <f>IF('Design Data'!J25="","",'Design Data'!J25)</f>
      </c>
      <c r="E14" s="1448">
        <f>IF('Design Data'!J26="","",'Design Data'!J26)</f>
      </c>
      <c r="F14" s="1448">
        <f>IF('Design Data'!J27="","",'Design Data'!J27)</f>
      </c>
      <c r="G14" s="1449">
        <f>IF('Design Data'!J28="","",'Design Data'!J28)</f>
      </c>
    </row>
    <row r="15" spans="1:7" ht="12.75">
      <c r="A15" s="1406" t="s">
        <v>2393</v>
      </c>
      <c r="B15" s="1407">
        <f>IF('Design Data'!A23="","",'Design Data'!A23)</f>
      </c>
      <c r="C15" s="1407">
        <f>IF('Design Data'!A24="","",'Design Data'!A24)</f>
      </c>
      <c r="D15" s="1407">
        <f>IF('Design Data'!A25="","",'Design Data'!A25)</f>
      </c>
      <c r="E15" s="1407">
        <f>IF('Design Data'!A26="","",'Design Data'!A26)</f>
      </c>
      <c r="F15" s="1407">
        <f>IF('Design Data'!A27="","",'Design Data'!A27)</f>
      </c>
      <c r="G15" s="1408">
        <f>IF('Design Data'!A28="","",'Design Data'!A28)</f>
      </c>
    </row>
    <row r="16" spans="1:7" ht="12.75">
      <c r="A16" s="1406" t="s">
        <v>2405</v>
      </c>
      <c r="B16" s="1407">
        <f>IF('Design Data'!M23="","",'Design Data'!M23)</f>
      </c>
      <c r="C16" s="1407">
        <f>IF('Design Data'!M24="","",'Design Data'!M24)</f>
      </c>
      <c r="D16" s="1407">
        <f>IF('Design Data'!M25="","",'Design Data'!M25)</f>
      </c>
      <c r="E16" s="1407">
        <f>IF('Design Data'!M26="","",'Design Data'!M26)</f>
      </c>
      <c r="F16" s="1407">
        <f>IF('Design Data'!M27="","",'Design Data'!M27)</f>
      </c>
      <c r="G16" s="1408">
        <f>IF('Design Data'!M28="","",'Design Data'!M28)</f>
      </c>
    </row>
    <row r="17" spans="1:7" ht="13.5" thickBot="1">
      <c r="A17" s="1409" t="s">
        <v>2406</v>
      </c>
      <c r="B17" s="1410"/>
      <c r="C17" s="1410"/>
      <c r="D17" s="1410"/>
      <c r="E17" s="1410"/>
      <c r="F17" s="1410"/>
      <c r="G17" s="1411"/>
    </row>
    <row r="18" spans="1:7" ht="14.25" thickBot="1" thickTop="1">
      <c r="A18" s="1412"/>
      <c r="B18" s="1413"/>
      <c r="C18" s="1413"/>
      <c r="D18" s="1413"/>
      <c r="E18" s="1413"/>
      <c r="F18" s="1413"/>
      <c r="G18" s="1412"/>
    </row>
    <row r="19" spans="1:7" ht="14.25" thickBot="1" thickTop="1">
      <c r="A19" s="1414" t="s">
        <v>923</v>
      </c>
      <c r="B19" s="1415" t="s">
        <v>924</v>
      </c>
      <c r="C19" s="1415" t="s">
        <v>924</v>
      </c>
      <c r="D19" s="1415" t="s">
        <v>924</v>
      </c>
      <c r="E19" s="1415" t="s">
        <v>924</v>
      </c>
      <c r="F19" s="1415" t="s">
        <v>924</v>
      </c>
      <c r="G19" s="1416" t="s">
        <v>924</v>
      </c>
    </row>
    <row r="20" spans="1:7" ht="13.5" thickTop="1">
      <c r="A20" s="1417" t="s">
        <v>926</v>
      </c>
      <c r="B20" s="1316"/>
      <c r="C20" s="1316"/>
      <c r="D20" s="1316"/>
      <c r="E20" s="1316"/>
      <c r="F20" s="1316"/>
      <c r="G20" s="1317"/>
    </row>
    <row r="21" spans="1:7" ht="12.75">
      <c r="A21" s="1417" t="s">
        <v>930</v>
      </c>
      <c r="B21" s="1314"/>
      <c r="C21" s="1314"/>
      <c r="D21" s="1314"/>
      <c r="E21" s="1314"/>
      <c r="F21" s="1314"/>
      <c r="G21" s="1315"/>
    </row>
    <row r="22" spans="1:7" ht="12.75">
      <c r="A22" s="1417" t="s">
        <v>931</v>
      </c>
      <c r="B22" s="1314"/>
      <c r="C22" s="1314"/>
      <c r="D22" s="1314"/>
      <c r="E22" s="1314"/>
      <c r="F22" s="1314"/>
      <c r="G22" s="1315"/>
    </row>
    <row r="23" spans="1:7" ht="12.75">
      <c r="A23" s="1417" t="s">
        <v>934</v>
      </c>
      <c r="B23" s="1314"/>
      <c r="C23" s="1314"/>
      <c r="D23" s="1314"/>
      <c r="E23" s="1314"/>
      <c r="F23" s="1314"/>
      <c r="G23" s="1315"/>
    </row>
    <row r="24" spans="1:7" ht="12.75">
      <c r="A24" s="1417" t="s">
        <v>935</v>
      </c>
      <c r="B24" s="1314"/>
      <c r="C24" s="1314"/>
      <c r="D24" s="1314"/>
      <c r="E24" s="1314"/>
      <c r="F24" s="1314"/>
      <c r="G24" s="1315"/>
    </row>
    <row r="25" spans="1:7" ht="12.75">
      <c r="A25" s="1417" t="s">
        <v>939</v>
      </c>
      <c r="B25" s="1314"/>
      <c r="C25" s="1314"/>
      <c r="D25" s="1314"/>
      <c r="E25" s="1314"/>
      <c r="F25" s="1314"/>
      <c r="G25" s="1315"/>
    </row>
    <row r="26" spans="1:7" ht="12.75">
      <c r="A26" s="1418" t="s">
        <v>950</v>
      </c>
      <c r="B26" s="1316"/>
      <c r="C26" s="1316"/>
      <c r="D26" s="1316"/>
      <c r="E26" s="1316"/>
      <c r="F26" s="1316"/>
      <c r="G26" s="1317"/>
    </row>
    <row r="27" spans="1:7" ht="12.75">
      <c r="A27" s="1419" t="s">
        <v>952</v>
      </c>
      <c r="B27" s="1314"/>
      <c r="C27" s="1314"/>
      <c r="D27" s="1314"/>
      <c r="E27" s="1314"/>
      <c r="F27" s="1314"/>
      <c r="G27" s="1315"/>
    </row>
    <row r="28" spans="1:7" ht="12.75">
      <c r="A28" s="1419" t="s">
        <v>956</v>
      </c>
      <c r="B28" s="1314"/>
      <c r="C28" s="1314"/>
      <c r="D28" s="1314"/>
      <c r="E28" s="1314"/>
      <c r="F28" s="1314"/>
      <c r="G28" s="1315"/>
    </row>
    <row r="29" spans="1:7" ht="12.75">
      <c r="A29" s="1420" t="s">
        <v>958</v>
      </c>
      <c r="B29" s="1314"/>
      <c r="C29" s="1314"/>
      <c r="D29" s="1314"/>
      <c r="E29" s="1314"/>
      <c r="F29" s="1314"/>
      <c r="G29" s="1315"/>
    </row>
    <row r="30" spans="1:7" ht="12.75">
      <c r="A30" s="1420" t="s">
        <v>959</v>
      </c>
      <c r="B30" s="1314"/>
      <c r="C30" s="1314"/>
      <c r="D30" s="1314"/>
      <c r="E30" s="1314"/>
      <c r="F30" s="1314"/>
      <c r="G30" s="1315"/>
    </row>
    <row r="31" spans="1:7" ht="12.75">
      <c r="A31" s="1420" t="s">
        <v>960</v>
      </c>
      <c r="B31" s="1314"/>
      <c r="C31" s="1314"/>
      <c r="D31" s="1314"/>
      <c r="E31" s="1314"/>
      <c r="F31" s="1314"/>
      <c r="G31" s="1315"/>
    </row>
    <row r="32" spans="1:7" ht="13.5" thickBot="1">
      <c r="A32" s="1421" t="s">
        <v>962</v>
      </c>
      <c r="B32" s="1318"/>
      <c r="C32" s="1318"/>
      <c r="D32" s="1318"/>
      <c r="E32" s="1318"/>
      <c r="F32" s="1318"/>
      <c r="G32" s="1319"/>
    </row>
    <row r="33" spans="1:7" ht="14.25" thickBot="1" thickTop="1">
      <c r="A33" s="1422"/>
      <c r="B33" s="79"/>
      <c r="C33" s="79"/>
      <c r="D33" s="79"/>
      <c r="E33" s="79"/>
      <c r="F33" s="79"/>
      <c r="G33" s="79"/>
    </row>
    <row r="34" spans="1:7" ht="13.5" thickTop="1">
      <c r="A34" s="1423" t="s">
        <v>2410</v>
      </c>
      <c r="B34" s="1424">
        <f aca="true" t="shared" si="0" ref="B34:G34">IF(B26="","",B26)</f>
      </c>
      <c r="C34" s="1424">
        <f t="shared" si="0"/>
      </c>
      <c r="D34" s="1424">
        <f t="shared" si="0"/>
      </c>
      <c r="E34" s="1424">
        <f t="shared" si="0"/>
      </c>
      <c r="F34" s="1424">
        <f t="shared" si="0"/>
      </c>
      <c r="G34" s="1425">
        <f t="shared" si="0"/>
      </c>
    </row>
    <row r="35" spans="1:7" ht="12.75">
      <c r="A35" s="1426" t="s">
        <v>2411</v>
      </c>
      <c r="B35" s="1427">
        <f aca="true" t="shared" si="1" ref="B35:G35">IF(B34="","",(100-B34))</f>
      </c>
      <c r="C35" s="1427">
        <f t="shared" si="1"/>
      </c>
      <c r="D35" s="1427">
        <f t="shared" si="1"/>
      </c>
      <c r="E35" s="1427">
        <f t="shared" si="1"/>
      </c>
      <c r="F35" s="1427">
        <f t="shared" si="1"/>
      </c>
      <c r="G35" s="1428">
        <f t="shared" si="1"/>
      </c>
    </row>
    <row r="36" spans="1:7" ht="13.5" thickBot="1">
      <c r="A36" s="1429" t="s">
        <v>2412</v>
      </c>
      <c r="B36" s="1430">
        <f aca="true" t="shared" si="2" ref="B36:G36">IF(B16="","",(B16*B35/100))</f>
      </c>
      <c r="C36" s="1430">
        <f t="shared" si="2"/>
      </c>
      <c r="D36" s="1430">
        <f t="shared" si="2"/>
      </c>
      <c r="E36" s="1430">
        <f t="shared" si="2"/>
      </c>
      <c r="F36" s="1430">
        <f t="shared" si="2"/>
      </c>
      <c r="G36" s="1431">
        <f t="shared" si="2"/>
      </c>
    </row>
    <row r="37" spans="1:7" ht="14.25" thickBot="1" thickTop="1">
      <c r="A37" s="1422"/>
      <c r="B37" s="267"/>
      <c r="C37" s="267"/>
      <c r="D37" s="267"/>
      <c r="E37" s="267"/>
      <c r="F37" s="267"/>
      <c r="G37" s="267"/>
    </row>
    <row r="38" spans="1:7" ht="13.5" thickTop="1">
      <c r="A38" s="1423" t="s">
        <v>2408</v>
      </c>
      <c r="B38" s="1424">
        <f aca="true" t="shared" si="3" ref="B38:G38">IF(B17="YES",B36,"")</f>
      </c>
      <c r="C38" s="1424">
        <f t="shared" si="3"/>
      </c>
      <c r="D38" s="1424">
        <f t="shared" si="3"/>
      </c>
      <c r="E38" s="1424">
        <f t="shared" si="3"/>
      </c>
      <c r="F38" s="1424">
        <f t="shared" si="3"/>
      </c>
      <c r="G38" s="1425">
        <f t="shared" si="3"/>
      </c>
    </row>
    <row r="39" spans="1:7" ht="13.5" thickBot="1">
      <c r="A39" s="1429" t="s">
        <v>2407</v>
      </c>
      <c r="B39" s="1430">
        <f aca="true" t="shared" si="4" ref="B39:G39">IF(B17="","",IF(B17="NO",B36,0))</f>
      </c>
      <c r="C39" s="1430">
        <f t="shared" si="4"/>
      </c>
      <c r="D39" s="1430">
        <f t="shared" si="4"/>
      </c>
      <c r="E39" s="1430">
        <f t="shared" si="4"/>
      </c>
      <c r="F39" s="1430">
        <f t="shared" si="4"/>
      </c>
      <c r="G39" s="1431">
        <f t="shared" si="4"/>
      </c>
    </row>
    <row r="40" spans="1:7" ht="14.25" thickBot="1" thickTop="1">
      <c r="A40" s="79"/>
      <c r="B40" s="79"/>
      <c r="C40" s="79"/>
      <c r="D40" s="79"/>
      <c r="E40" s="79"/>
      <c r="F40" s="79"/>
      <c r="G40" s="79"/>
    </row>
    <row r="41" spans="1:7" ht="13.5" thickTop="1">
      <c r="A41" s="79"/>
      <c r="B41" s="1432"/>
      <c r="C41" s="1433"/>
      <c r="D41" s="1434" t="s">
        <v>2415</v>
      </c>
      <c r="E41" s="1603">
        <f>IF(SUM(B38:G38)=0,"",SUM(B38:G38))</f>
      </c>
      <c r="F41" s="1604"/>
      <c r="G41" s="79"/>
    </row>
    <row r="42" spans="1:7" ht="13.5" thickBot="1">
      <c r="A42" s="79"/>
      <c r="B42" s="1435"/>
      <c r="C42" s="1436"/>
      <c r="D42" s="1437" t="s">
        <v>2414</v>
      </c>
      <c r="E42" s="1605">
        <f>IF(AND(SUM(B39:G39)=0,ISNUMBER(E41)),0,IF(SUM(B39:G39)=0,"",SUM(B39:G39)))</f>
      </c>
      <c r="F42" s="1606"/>
      <c r="G42" s="79"/>
    </row>
    <row r="43" spans="1:7" ht="14.25" thickBot="1" thickTop="1">
      <c r="A43" s="79"/>
      <c r="B43" s="1438"/>
      <c r="C43" s="79"/>
      <c r="D43" s="1422"/>
      <c r="E43" s="267"/>
      <c r="F43" s="267"/>
      <c r="G43" s="79"/>
    </row>
    <row r="44" spans="1:7" ht="14.25" thickBot="1" thickTop="1">
      <c r="A44" s="79"/>
      <c r="B44" s="1439"/>
      <c r="C44" s="1440"/>
      <c r="D44" s="1441" t="str">
        <f>IF('Chart Data'!L47="A","For the 'A' Mixture Selected the '+4' requirement is","For the 'B' Mixture Selected the Polish Resistant")</f>
        <v>For the 'B' Mixture Selected the Polish Resistant</v>
      </c>
      <c r="E44" s="1607">
        <f>IF(E42="","",IF(AND(ROUND(E42,0)&lt;=5,'Chart Data'!L47="A"),"Within Specification Limits",IF(AND(ROUND(E42,0)&gt;5,'Chart Data'!L47="A"),"Out of Specification",IF(AND(E41&gt;=E42,'Chart Data'!L47="B"),"Within Specification Limits",IF(AND(E41&lt;E42,'Chart Data'!L47="B"),"Out of Specification","")))))</f>
      </c>
      <c r="F44" s="1602"/>
      <c r="G44" s="79"/>
    </row>
    <row r="45" ht="13.5" thickTop="1"/>
  </sheetData>
  <sheetProtection password="C550" sheet="1" objects="1" scenarios="1"/>
  <mergeCells count="5">
    <mergeCell ref="E41:F41"/>
    <mergeCell ref="E42:F42"/>
    <mergeCell ref="E44:F44"/>
    <mergeCell ref="A12:G12"/>
    <mergeCell ref="F7:G8"/>
  </mergeCells>
  <printOptions/>
  <pageMargins left="0.25" right="0.25"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0"/>
  <dimension ref="A1:P34"/>
  <sheetViews>
    <sheetView zoomScale="110" zoomScaleNormal="110" zoomScalePageLayoutView="0" workbookViewId="0" topLeftCell="A1">
      <selection activeCell="A1" sqref="A1"/>
    </sheetView>
  </sheetViews>
  <sheetFormatPr defaultColWidth="9.140625" defaultRowHeight="12.75"/>
  <cols>
    <col min="1" max="5" width="7.7109375" style="0" customWidth="1"/>
    <col min="6" max="6" width="8.28125" style="0" customWidth="1"/>
    <col min="8" max="8" width="4.57421875" style="0" customWidth="1"/>
    <col min="11" max="11" width="7.140625" style="0" customWidth="1"/>
    <col min="12" max="16" width="7.7109375" style="0" customWidth="1"/>
  </cols>
  <sheetData>
    <row r="1" spans="1:16" ht="13.5" thickTop="1">
      <c r="A1" s="74"/>
      <c r="B1" s="44"/>
      <c r="C1" s="44"/>
      <c r="D1" s="44"/>
      <c r="E1" s="44"/>
      <c r="F1" s="44"/>
      <c r="G1" s="75"/>
      <c r="H1" s="44"/>
      <c r="I1" s="44"/>
      <c r="J1" s="44"/>
      <c r="K1" s="44"/>
      <c r="L1" s="45"/>
      <c r="M1" s="44"/>
      <c r="N1" s="75"/>
      <c r="O1" s="44"/>
      <c r="P1" s="1390" t="s">
        <v>2557</v>
      </c>
    </row>
    <row r="2" spans="1:16" ht="14.25" customHeight="1">
      <c r="A2" s="47" t="s">
        <v>906</v>
      </c>
      <c r="B2" s="48"/>
      <c r="C2" s="48"/>
      <c r="D2" s="48"/>
      <c r="E2" s="48"/>
      <c r="F2" s="48"/>
      <c r="G2" s="76"/>
      <c r="H2" s="48"/>
      <c r="I2" s="48"/>
      <c r="J2" s="48"/>
      <c r="K2" s="48"/>
      <c r="L2" s="48"/>
      <c r="M2" s="48"/>
      <c r="N2" s="48"/>
      <c r="O2" s="48"/>
      <c r="P2" s="266"/>
    </row>
    <row r="3" spans="1:16" ht="15">
      <c r="A3" s="47" t="s">
        <v>907</v>
      </c>
      <c r="B3" s="48"/>
      <c r="C3" s="48"/>
      <c r="D3" s="48"/>
      <c r="E3" s="48"/>
      <c r="F3" s="48"/>
      <c r="G3" s="76"/>
      <c r="H3" s="48"/>
      <c r="I3" s="48"/>
      <c r="J3" s="48"/>
      <c r="K3" s="48"/>
      <c r="L3" s="48"/>
      <c r="M3" s="48"/>
      <c r="N3" s="48"/>
      <c r="O3" s="48"/>
      <c r="P3" s="88"/>
    </row>
    <row r="4" spans="1:16" ht="15">
      <c r="A4" s="47" t="s">
        <v>908</v>
      </c>
      <c r="B4" s="48"/>
      <c r="C4" s="48"/>
      <c r="D4" s="48"/>
      <c r="E4" s="48"/>
      <c r="F4" s="48"/>
      <c r="G4" s="76"/>
      <c r="H4" s="48"/>
      <c r="I4" s="48"/>
      <c r="J4" s="48"/>
      <c r="K4" s="48"/>
      <c r="L4" s="48"/>
      <c r="M4" s="48"/>
      <c r="N4" s="48"/>
      <c r="O4" s="48"/>
      <c r="P4" s="88"/>
    </row>
    <row r="5" spans="1:16" ht="15.75" thickBot="1">
      <c r="A5" s="77"/>
      <c r="B5" s="49"/>
      <c r="C5" s="49"/>
      <c r="D5" s="49"/>
      <c r="E5" s="49"/>
      <c r="F5" s="49"/>
      <c r="G5" s="50"/>
      <c r="H5" s="49"/>
      <c r="I5" s="49"/>
      <c r="J5" s="49"/>
      <c r="K5" s="49"/>
      <c r="L5" s="49"/>
      <c r="M5" s="49"/>
      <c r="N5" s="49"/>
      <c r="O5" s="49"/>
      <c r="P5" s="89"/>
    </row>
    <row r="6" spans="1:16" ht="13.5" thickTop="1">
      <c r="A6" s="79"/>
      <c r="B6" s="79"/>
      <c r="C6" s="79"/>
      <c r="D6" s="79"/>
      <c r="E6" s="1346"/>
      <c r="F6" s="1347"/>
      <c r="G6" s="79"/>
      <c r="H6" s="79"/>
      <c r="I6" s="79"/>
      <c r="J6" s="79"/>
      <c r="K6" s="79"/>
      <c r="L6" s="79"/>
      <c r="M6" s="79"/>
      <c r="N6" s="79"/>
      <c r="O6" s="79"/>
      <c r="P6" s="79"/>
    </row>
    <row r="7" spans="1:16" ht="12.75">
      <c r="A7" s="1608" t="s">
        <v>2444</v>
      </c>
      <c r="B7" s="1608"/>
      <c r="C7" s="1608"/>
      <c r="D7" s="1608"/>
      <c r="E7" s="1608"/>
      <c r="F7" s="1608"/>
      <c r="G7" s="1608"/>
      <c r="H7" s="1608"/>
      <c r="I7" s="1608"/>
      <c r="J7" s="1608"/>
      <c r="K7" s="1608"/>
      <c r="L7" s="1608"/>
      <c r="M7" s="1608"/>
      <c r="N7" s="1608"/>
      <c r="O7" s="1608"/>
      <c r="P7" s="1608"/>
    </row>
    <row r="8" spans="1:16" ht="12.75">
      <c r="A8" s="1348"/>
      <c r="B8" s="1348"/>
      <c r="C8" s="1348"/>
      <c r="D8" s="1348"/>
      <c r="E8" s="1348"/>
      <c r="F8" s="1348"/>
      <c r="G8" s="1348"/>
      <c r="H8" s="1348"/>
      <c r="I8" s="1348"/>
      <c r="J8" s="1348"/>
      <c r="K8" s="1348"/>
      <c r="L8" s="1348"/>
      <c r="M8" s="1348"/>
      <c r="N8" s="1348"/>
      <c r="O8" s="1348"/>
      <c r="P8" s="1348"/>
    </row>
    <row r="9" spans="1:16" ht="12.75">
      <c r="A9" s="1349" t="s">
        <v>2446</v>
      </c>
      <c r="B9" s="1348"/>
      <c r="C9" s="1348"/>
      <c r="D9" s="1348"/>
      <c r="E9" s="1348"/>
      <c r="F9" s="1348"/>
      <c r="G9" s="1348"/>
      <c r="H9" s="1348"/>
      <c r="I9" s="1348"/>
      <c r="J9" s="1348"/>
      <c r="K9" s="1348"/>
      <c r="L9" s="1348"/>
      <c r="M9" s="1348"/>
      <c r="N9" s="1348"/>
      <c r="O9" s="1348"/>
      <c r="P9" s="1348"/>
    </row>
    <row r="10" spans="1:16" ht="7.5" customHeight="1" thickBot="1">
      <c r="A10" s="79"/>
      <c r="B10" s="79"/>
      <c r="C10" s="79"/>
      <c r="D10" s="79"/>
      <c r="E10" s="79"/>
      <c r="F10" s="79"/>
      <c r="G10" s="79"/>
      <c r="H10" s="79"/>
      <c r="I10" s="79"/>
      <c r="J10" s="79"/>
      <c r="K10" s="79"/>
      <c r="L10" s="79"/>
      <c r="M10" s="79"/>
      <c r="N10" s="79"/>
      <c r="O10" s="79"/>
      <c r="P10" s="79"/>
    </row>
    <row r="11" spans="1:16" ht="14.25" thickBot="1" thickTop="1">
      <c r="A11" s="93" t="s">
        <v>2402</v>
      </c>
      <c r="B11" s="94"/>
      <c r="C11" s="102" t="s">
        <v>2403</v>
      </c>
      <c r="D11" s="103"/>
      <c r="E11" s="104"/>
      <c r="F11" s="95"/>
      <c r="G11" s="1617" t="s">
        <v>944</v>
      </c>
      <c r="H11" s="1618"/>
      <c r="I11" s="1619" t="s">
        <v>2404</v>
      </c>
      <c r="J11" s="1490"/>
      <c r="K11" s="1345" t="s">
        <v>947</v>
      </c>
      <c r="L11" s="1350" t="s">
        <v>2416</v>
      </c>
      <c r="M11" s="1350" t="s">
        <v>2417</v>
      </c>
      <c r="N11" s="1350" t="s">
        <v>2418</v>
      </c>
      <c r="O11" s="1350" t="s">
        <v>2419</v>
      </c>
      <c r="P11" s="1313" t="s">
        <v>946</v>
      </c>
    </row>
    <row r="12" spans="1:16" ht="13.5" thickTop="1">
      <c r="A12" s="1611"/>
      <c r="B12" s="1612"/>
      <c r="C12" s="1641"/>
      <c r="D12" s="1642"/>
      <c r="E12" s="1642"/>
      <c r="F12" s="1642"/>
      <c r="G12" s="1643"/>
      <c r="H12" s="1644"/>
      <c r="I12" s="1643"/>
      <c r="J12" s="1645"/>
      <c r="K12" s="1351"/>
      <c r="L12" s="1322"/>
      <c r="M12" s="1325"/>
      <c r="N12" s="1326"/>
      <c r="O12" s="1352">
        <f>IF(L12="","",IF(OR(M12="",N12=""),"",AVERAGE(M12:N12)))</f>
      </c>
      <c r="P12" s="1353">
        <f>IF(O12="","",((((100*((100-L12)/((100/(O12)-(L12/1.03))))*1.03)/(0.5*((100-L12)/((100/(O12)-(L12/1.03))))+(100*1.03))))))</f>
      </c>
    </row>
    <row r="13" spans="1:16" ht="12.75">
      <c r="A13" s="1628"/>
      <c r="B13" s="1629"/>
      <c r="C13" s="1630"/>
      <c r="D13" s="1631"/>
      <c r="E13" s="1631"/>
      <c r="F13" s="1631"/>
      <c r="G13" s="1626"/>
      <c r="H13" s="1627"/>
      <c r="I13" s="1626"/>
      <c r="J13" s="1627"/>
      <c r="K13" s="1354"/>
      <c r="L13" s="1323"/>
      <c r="M13" s="1327"/>
      <c r="N13" s="1328"/>
      <c r="O13" s="1352">
        <f>IF(L13="","",IF(OR(M13="",N13=""),"",AVERAGE(M13:N13)))</f>
      </c>
      <c r="P13" s="1355">
        <f>IF(O13="","",((((100*((100-L13)/((100/(O13)-(L13/1.03))))*1.03)/(0.5*((100-L13)/((100/(O13)-(L13/1.03))))+(100*1.03))))))</f>
      </c>
    </row>
    <row r="14" spans="1:16" ht="12.75">
      <c r="A14" s="1628"/>
      <c r="B14" s="1629"/>
      <c r="C14" s="1630"/>
      <c r="D14" s="1631"/>
      <c r="E14" s="1631"/>
      <c r="F14" s="1631"/>
      <c r="G14" s="1626"/>
      <c r="H14" s="1627"/>
      <c r="I14" s="1626"/>
      <c r="J14" s="1627"/>
      <c r="K14" s="1356"/>
      <c r="L14" s="1323"/>
      <c r="M14" s="1327"/>
      <c r="N14" s="1328"/>
      <c r="O14" s="1352">
        <f>IF(L14="","",IF(OR(M14="",N14=""),"",AVERAGE(M14:N14)))</f>
      </c>
      <c r="P14" s="1355">
        <f>IF(O14="","",((((100*((100-L14)/((100/(O14)-(L14/1.03))))*1.03)/(0.5*((100-L14)/((100/(O14)-(L14/1.03))))+(100*1.03))))))</f>
      </c>
    </row>
    <row r="15" spans="1:16" ht="13.5" thickBot="1">
      <c r="A15" s="1632"/>
      <c r="B15" s="1633"/>
      <c r="C15" s="1634"/>
      <c r="D15" s="1635"/>
      <c r="E15" s="1635"/>
      <c r="F15" s="1635"/>
      <c r="G15" s="1636"/>
      <c r="H15" s="1637"/>
      <c r="I15" s="1636"/>
      <c r="J15" s="1637"/>
      <c r="K15" s="1357"/>
      <c r="L15" s="1324"/>
      <c r="M15" s="1329"/>
      <c r="N15" s="1330"/>
      <c r="O15" s="1358">
        <f>IF(L15="","",IF(OR(M15="",N15=""),"",AVERAGE(M15:N15)))</f>
      </c>
      <c r="P15" s="1359">
        <f>IF(O15="","",((((100*((100-L15)/((100/(O15)-(L15/1.03))))*1.03)/(0.5*((100-L15)/((100/(O15)-(L15/1.03))))+(100*1.03))))))</f>
      </c>
    </row>
    <row r="16" spans="1:16" ht="14.25" thickBot="1" thickTop="1">
      <c r="A16" s="1360"/>
      <c r="B16" s="1360"/>
      <c r="C16" s="1361"/>
      <c r="D16" s="1361"/>
      <c r="E16" s="1361"/>
      <c r="F16" s="1361"/>
      <c r="G16" s="1338"/>
      <c r="H16" s="1338"/>
      <c r="I16" s="1338"/>
      <c r="J16" s="1338"/>
      <c r="K16" s="1362"/>
      <c r="L16" s="1363"/>
      <c r="M16" s="1364"/>
      <c r="N16" s="1364"/>
      <c r="O16" s="1365"/>
      <c r="P16" s="1366"/>
    </row>
    <row r="17" spans="1:16" ht="14.25" thickBot="1" thickTop="1">
      <c r="A17" s="79"/>
      <c r="B17" s="79"/>
      <c r="C17" s="79"/>
      <c r="D17" s="79"/>
      <c r="E17" s="79"/>
      <c r="F17" s="79"/>
      <c r="G17" s="1638" t="s">
        <v>2561</v>
      </c>
      <c r="H17" s="1639"/>
      <c r="I17" s="1640"/>
      <c r="J17" s="1337"/>
      <c r="K17" s="79"/>
      <c r="L17" s="79"/>
      <c r="M17" s="79"/>
      <c r="N17" s="79"/>
      <c r="O17" s="79"/>
      <c r="P17" s="79"/>
    </row>
    <row r="18" spans="1:16" ht="14.25" thickBot="1" thickTop="1">
      <c r="A18" s="79"/>
      <c r="B18" s="79"/>
      <c r="C18" s="79"/>
      <c r="D18" s="79"/>
      <c r="E18" s="79"/>
      <c r="F18" s="79"/>
      <c r="G18" s="1349"/>
      <c r="H18" s="1349"/>
      <c r="I18" s="1349"/>
      <c r="J18" s="1367"/>
      <c r="K18" s="79"/>
      <c r="L18" s="79"/>
      <c r="M18" s="79"/>
      <c r="N18" s="79"/>
      <c r="O18" s="79"/>
      <c r="P18" s="79"/>
    </row>
    <row r="19" spans="1:16" ht="13.5" thickTop="1">
      <c r="A19" s="79"/>
      <c r="B19" s="79"/>
      <c r="C19" s="79"/>
      <c r="D19" s="79"/>
      <c r="E19" s="79"/>
      <c r="F19" s="79"/>
      <c r="G19" s="1620">
        <f>IF(I12="","",I12)</f>
      </c>
      <c r="H19" s="1621"/>
      <c r="I19" s="1622"/>
      <c r="J19" s="1368">
        <f>IF(L12="","",IF(G19="Shingles",ROUND(0.75*L12*K12/100,1),ROUND(L12*K12/100,1)))</f>
      </c>
      <c r="K19" s="79"/>
      <c r="L19" s="79"/>
      <c r="M19" s="79"/>
      <c r="N19" s="79"/>
      <c r="O19" s="79"/>
      <c r="P19" s="79"/>
    </row>
    <row r="20" spans="1:16" ht="12.75">
      <c r="A20" s="79"/>
      <c r="B20" s="79"/>
      <c r="C20" s="79"/>
      <c r="D20" s="79"/>
      <c r="E20" s="79"/>
      <c r="F20" s="79"/>
      <c r="G20" s="1623">
        <f>IF(I13="","",I13)</f>
      </c>
      <c r="H20" s="1624"/>
      <c r="I20" s="1625"/>
      <c r="J20" s="1369">
        <f>IF(L13="","",IF(G20="Shingles",ROUND(0.75*L13*K13/100,1),ROUND(L13*K13/100,1)))</f>
      </c>
      <c r="K20" s="79"/>
      <c r="L20" s="79"/>
      <c r="M20" s="79"/>
      <c r="N20" s="79"/>
      <c r="O20" s="79"/>
      <c r="P20" s="79"/>
    </row>
    <row r="21" spans="1:16" ht="12.75">
      <c r="A21" s="79"/>
      <c r="B21" s="79"/>
      <c r="C21" s="79"/>
      <c r="D21" s="79"/>
      <c r="E21" s="79"/>
      <c r="F21" s="79"/>
      <c r="G21" s="1623">
        <f>IF(I14="","",I14)</f>
      </c>
      <c r="H21" s="1624"/>
      <c r="I21" s="1625"/>
      <c r="J21" s="1457">
        <f>IF(L14="","",IF(G21="Shingles",ROUND(0.75*L14*K14/100,1),ROUND(L14*K14/100,1)))</f>
      </c>
      <c r="K21" s="79"/>
      <c r="L21" s="79"/>
      <c r="M21" s="79"/>
      <c r="N21" s="79"/>
      <c r="O21" s="79"/>
      <c r="P21" s="79"/>
    </row>
    <row r="22" spans="1:16" ht="13.5" thickBot="1">
      <c r="A22" s="79"/>
      <c r="B22" s="79"/>
      <c r="C22" s="79"/>
      <c r="D22" s="79"/>
      <c r="E22" s="79"/>
      <c r="F22" s="79"/>
      <c r="G22" s="1614">
        <f>IF(I15="","",I15)</f>
      </c>
      <c r="H22" s="1615"/>
      <c r="I22" s="1616"/>
      <c r="J22" s="1371">
        <f>IF(L15="","",IF(G22="Shingles",ROUND(0.75*L15*K15/100,1),ROUND(L15*K15/100,1)))</f>
      </c>
      <c r="K22" s="79"/>
      <c r="L22" s="79"/>
      <c r="M22" s="79"/>
      <c r="N22" s="79"/>
      <c r="O22" s="79"/>
      <c r="P22" s="79"/>
    </row>
    <row r="23" spans="1:16" ht="14.25" thickBot="1" thickTop="1">
      <c r="A23" s="79"/>
      <c r="B23" s="79"/>
      <c r="C23" s="79"/>
      <c r="D23" s="79"/>
      <c r="E23" s="79"/>
      <c r="F23" s="79"/>
      <c r="G23" s="1638" t="s">
        <v>2445</v>
      </c>
      <c r="H23" s="1639"/>
      <c r="I23" s="1640"/>
      <c r="J23" s="1370">
        <f>IF(J19="","",SUM(J19:J22))</f>
      </c>
      <c r="K23" s="79"/>
      <c r="L23" s="79"/>
      <c r="M23" s="79"/>
      <c r="N23" s="79"/>
      <c r="O23" s="79"/>
      <c r="P23" s="79"/>
    </row>
    <row r="24" spans="1:16" ht="14.25" thickBot="1" thickTop="1">
      <c r="A24" s="79"/>
      <c r="B24" s="79"/>
      <c r="C24" s="79"/>
      <c r="D24" s="79"/>
      <c r="E24" s="79"/>
      <c r="F24" s="79"/>
      <c r="G24" s="1638" t="s">
        <v>2420</v>
      </c>
      <c r="H24" s="1639"/>
      <c r="I24" s="1640"/>
      <c r="J24" s="1372">
        <f>IF('Design Data'!O63="","",'Design Data'!O63-(SUM(J19:J22)))</f>
      </c>
      <c r="K24" s="79"/>
      <c r="L24" s="1422"/>
      <c r="M24" s="79"/>
      <c r="N24" s="79"/>
      <c r="O24" s="79"/>
      <c r="P24" s="79"/>
    </row>
    <row r="25" spans="1:16" ht="14.25" thickBot="1" thickTop="1">
      <c r="A25" s="79"/>
      <c r="B25" s="79"/>
      <c r="C25" s="79"/>
      <c r="D25" s="79"/>
      <c r="E25" s="79"/>
      <c r="F25" s="79"/>
      <c r="G25" s="1638" t="s">
        <v>2566</v>
      </c>
      <c r="H25" s="1639"/>
      <c r="I25" s="1639"/>
      <c r="J25" s="1372">
        <f>IF('Chart Data'!BK6="","",'Chart Data'!BK6)</f>
      </c>
      <c r="K25" s="79"/>
      <c r="L25" s="79"/>
      <c r="M25" s="79"/>
      <c r="N25" s="79"/>
      <c r="O25" s="79"/>
      <c r="P25" s="79"/>
    </row>
    <row r="26" spans="1:16" ht="13.5" thickTop="1">
      <c r="A26" s="79"/>
      <c r="B26" s="79"/>
      <c r="C26" s="79"/>
      <c r="D26" s="79"/>
      <c r="E26" s="79"/>
      <c r="F26" s="79"/>
      <c r="G26" s="1373"/>
      <c r="H26" s="1373"/>
      <c r="I26" s="1373"/>
      <c r="J26" s="1363"/>
      <c r="K26" s="79"/>
      <c r="L26" s="79"/>
      <c r="M26" s="79"/>
      <c r="N26" s="79"/>
      <c r="O26" s="79"/>
      <c r="P26" s="79"/>
    </row>
    <row r="27" spans="3:14" ht="12.75">
      <c r="C27" s="1610" t="str">
        <f>IF('Chart Data'!BK9="NO","The contribution of Asphalt Binder from the reclaimed materials has exceeded the maximum.",'Design Data'!A19)</f>
        <v>(as specified in Bid Item)</v>
      </c>
      <c r="D27" s="1610"/>
      <c r="E27" s="1610"/>
      <c r="F27" s="1610"/>
      <c r="G27" s="1610"/>
      <c r="H27" s="1610"/>
      <c r="I27" s="1610"/>
      <c r="J27" s="1610"/>
      <c r="K27" s="1610"/>
      <c r="L27" s="1610"/>
      <c r="M27" s="1610"/>
      <c r="N27" s="1610"/>
    </row>
    <row r="28" spans="7:10" ht="12.75">
      <c r="G28" s="537"/>
      <c r="H28" s="537"/>
      <c r="I28" s="537"/>
      <c r="J28" s="1340"/>
    </row>
    <row r="29" spans="3:14" ht="12.75">
      <c r="C29" s="1613">
        <f>IF(AND('Recycle Data'!J17&lt;&gt;Graphs!K134,'Chart Data'!J7="New Mix Design"),"Target Eff. AC% in Mix does not match Calculated Eff. AC%","")</f>
      </c>
      <c r="D29" s="1613"/>
      <c r="E29" s="1613"/>
      <c r="F29" s="1613"/>
      <c r="G29" s="1613"/>
      <c r="H29" s="1613"/>
      <c r="I29" s="1613"/>
      <c r="J29" s="1613"/>
      <c r="K29" s="1613"/>
      <c r="L29" s="1613"/>
      <c r="M29" s="1613"/>
      <c r="N29" s="1613"/>
    </row>
    <row r="34" ht="12.75">
      <c r="C34" s="1331"/>
    </row>
  </sheetData>
  <sheetProtection password="C550" sheet="1" objects="1" scenarios="1"/>
  <mergeCells count="29">
    <mergeCell ref="A7:P7"/>
    <mergeCell ref="A15:B15"/>
    <mergeCell ref="C15:F15"/>
    <mergeCell ref="G15:H15"/>
    <mergeCell ref="I15:J15"/>
    <mergeCell ref="A14:B14"/>
    <mergeCell ref="C14:F14"/>
    <mergeCell ref="G14:H14"/>
    <mergeCell ref="C12:F12"/>
    <mergeCell ref="G12:H12"/>
    <mergeCell ref="I12:J12"/>
    <mergeCell ref="G13:H13"/>
    <mergeCell ref="I14:J14"/>
    <mergeCell ref="C27:N27"/>
    <mergeCell ref="A12:B12"/>
    <mergeCell ref="C29:N29"/>
    <mergeCell ref="G22:I22"/>
    <mergeCell ref="G11:H11"/>
    <mergeCell ref="I11:J11"/>
    <mergeCell ref="G19:I19"/>
    <mergeCell ref="G20:I20"/>
    <mergeCell ref="G21:I21"/>
    <mergeCell ref="I13:J13"/>
    <mergeCell ref="A13:B13"/>
    <mergeCell ref="C13:F13"/>
    <mergeCell ref="G25:I25"/>
    <mergeCell ref="G24:I24"/>
    <mergeCell ref="G17:I17"/>
    <mergeCell ref="G23:I23"/>
  </mergeCells>
  <conditionalFormatting sqref="C27:N27">
    <cfRule type="cellIs" priority="3" dxfId="1" operator="equal" stopIfTrue="1">
      <formula>"The contribution of Asphalt Binder from the reclaimed materials has exceeded the maximum."</formula>
    </cfRule>
  </conditionalFormatting>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8"/>
  <dimension ref="A1:G105"/>
  <sheetViews>
    <sheetView showGridLines="0" zoomScale="85" zoomScaleNormal="85" zoomScalePageLayoutView="0" workbookViewId="0" topLeftCell="A2">
      <selection activeCell="A6" sqref="A6"/>
    </sheetView>
  </sheetViews>
  <sheetFormatPr defaultColWidth="9.140625" defaultRowHeight="12.75"/>
  <cols>
    <col min="1" max="1" width="39.421875" style="795" customWidth="1"/>
    <col min="2" max="2" width="14.28125" style="795" customWidth="1"/>
    <col min="3" max="3" width="19.00390625" style="796" customWidth="1"/>
    <col min="4" max="4" width="18.00390625" style="797" customWidth="1"/>
    <col min="5" max="5" width="9.140625" style="789" customWidth="1"/>
    <col min="6" max="9" width="9.57421875" style="789" customWidth="1"/>
    <col min="10" max="16384" width="9.140625" style="789" customWidth="1"/>
  </cols>
  <sheetData>
    <row r="1" spans="1:4" s="786" customFormat="1" ht="12.75" hidden="1">
      <c r="A1" s="784" t="s">
        <v>2237</v>
      </c>
      <c r="B1" s="784" t="s">
        <v>2237</v>
      </c>
      <c r="C1" s="784" t="s">
        <v>2237</v>
      </c>
      <c r="D1" s="785" t="s">
        <v>2124</v>
      </c>
    </row>
    <row r="2" spans="1:7" ht="12.75">
      <c r="A2" s="1070" t="s">
        <v>2242</v>
      </c>
      <c r="B2" s="1071" t="s">
        <v>2243</v>
      </c>
      <c r="C2" s="1072" t="s">
        <v>2244</v>
      </c>
      <c r="D2" s="1073" t="s">
        <v>2245</v>
      </c>
      <c r="F2" s="786"/>
      <c r="G2" s="790"/>
    </row>
    <row r="3" spans="1:7" ht="12.75">
      <c r="A3" s="1074"/>
      <c r="B3" s="1074" t="s">
        <v>2246</v>
      </c>
      <c r="C3" s="1075" t="s">
        <v>2247</v>
      </c>
      <c r="D3" s="1076" t="s">
        <v>2248</v>
      </c>
      <c r="F3" s="1217"/>
      <c r="G3" s="791" t="s">
        <v>2249</v>
      </c>
    </row>
    <row r="4" spans="1:7" ht="12.75">
      <c r="A4" s="1077"/>
      <c r="B4" s="1077"/>
      <c r="C4" s="1078" t="s">
        <v>2250</v>
      </c>
      <c r="D4" s="1079" t="s">
        <v>2251</v>
      </c>
      <c r="G4" s="792" t="s">
        <v>2252</v>
      </c>
    </row>
    <row r="5" spans="1:4" s="786" customFormat="1" ht="25.5" hidden="1">
      <c r="A5" s="1250" t="s">
        <v>2238</v>
      </c>
      <c r="B5" s="1176" t="s">
        <v>2239</v>
      </c>
      <c r="C5" s="1251" t="s">
        <v>2240</v>
      </c>
      <c r="D5" s="788" t="s">
        <v>2241</v>
      </c>
    </row>
    <row r="6" spans="1:4" ht="12.75">
      <c r="A6" s="1247"/>
      <c r="B6" s="793"/>
      <c r="C6" s="1249"/>
      <c r="D6" s="1237"/>
    </row>
    <row r="7" spans="1:4" ht="12.75">
      <c r="A7" s="1247"/>
      <c r="B7" s="793"/>
      <c r="C7" s="1249"/>
      <c r="D7" s="794"/>
    </row>
    <row r="8" spans="1:4" ht="12.75">
      <c r="A8" s="1248"/>
      <c r="B8" s="793"/>
      <c r="C8" s="1249"/>
      <c r="D8" s="794"/>
    </row>
    <row r="9" spans="1:4" ht="13.5" customHeight="1">
      <c r="A9" s="1248"/>
      <c r="B9" s="793"/>
      <c r="C9" s="1249"/>
      <c r="D9" s="794"/>
    </row>
    <row r="10" spans="1:4" ht="12.75">
      <c r="A10" s="1248"/>
      <c r="B10" s="793"/>
      <c r="C10" s="1249"/>
      <c r="D10" s="794"/>
    </row>
    <row r="11" spans="1:4" ht="12.75">
      <c r="A11" s="1248"/>
      <c r="B11" s="793"/>
      <c r="C11" s="1249"/>
      <c r="D11" s="794"/>
    </row>
    <row r="12" spans="1:4" ht="12.75">
      <c r="A12" s="1248"/>
      <c r="B12" s="793"/>
      <c r="C12" s="1249"/>
      <c r="D12" s="794"/>
    </row>
    <row r="13" spans="1:4" ht="12.75">
      <c r="A13" s="1248"/>
      <c r="B13" s="793"/>
      <c r="C13" s="1249"/>
      <c r="D13" s="794"/>
    </row>
    <row r="14" spans="1:4" ht="12.75">
      <c r="A14" s="1248"/>
      <c r="B14" s="793"/>
      <c r="C14" s="1249"/>
      <c r="D14" s="794"/>
    </row>
    <row r="15" spans="1:4" ht="12.75">
      <c r="A15" s="1248"/>
      <c r="B15" s="793"/>
      <c r="C15" s="1249"/>
      <c r="D15" s="794"/>
    </row>
    <row r="16" spans="1:4" ht="12.75">
      <c r="A16" s="1248"/>
      <c r="B16" s="793"/>
      <c r="C16" s="1249"/>
      <c r="D16" s="794"/>
    </row>
    <row r="17" spans="1:4" ht="12.75">
      <c r="A17" s="1248"/>
      <c r="B17" s="793"/>
      <c r="C17" s="1249"/>
      <c r="D17" s="794"/>
    </row>
    <row r="18" spans="1:4" ht="12.75">
      <c r="A18" s="1248"/>
      <c r="B18" s="793"/>
      <c r="C18" s="1249"/>
      <c r="D18" s="794"/>
    </row>
    <row r="19" spans="1:4" ht="12.75">
      <c r="A19" s="1248"/>
      <c r="B19" s="793"/>
      <c r="C19" s="1249"/>
      <c r="D19" s="794"/>
    </row>
    <row r="20" spans="1:4" ht="12.75">
      <c r="A20" s="1248"/>
      <c r="B20" s="793"/>
      <c r="C20" s="1249"/>
      <c r="D20" s="794"/>
    </row>
    <row r="21" spans="1:4" ht="12.75">
      <c r="A21" s="1248"/>
      <c r="B21" s="793"/>
      <c r="C21" s="1249"/>
      <c r="D21" s="794"/>
    </row>
    <row r="22" spans="1:4" ht="12.75">
      <c r="A22" s="1248"/>
      <c r="B22" s="793"/>
      <c r="C22" s="1249"/>
      <c r="D22" s="794"/>
    </row>
    <row r="23" spans="1:4" ht="12.75">
      <c r="A23" s="1248"/>
      <c r="B23" s="793"/>
      <c r="C23" s="1249"/>
      <c r="D23" s="794"/>
    </row>
    <row r="24" spans="1:4" ht="12.75">
      <c r="A24" s="1248"/>
      <c r="B24" s="793"/>
      <c r="C24" s="1249"/>
      <c r="D24" s="794"/>
    </row>
    <row r="25" spans="1:4" ht="12.75">
      <c r="A25" s="1248"/>
      <c r="B25" s="793"/>
      <c r="C25" s="1249"/>
      <c r="D25" s="794"/>
    </row>
    <row r="26" spans="1:4" ht="12.75">
      <c r="A26" s="1248"/>
      <c r="B26" s="793"/>
      <c r="C26" s="1249"/>
      <c r="D26" s="794"/>
    </row>
    <row r="27" spans="1:4" ht="12.75">
      <c r="A27" s="1248"/>
      <c r="B27" s="793"/>
      <c r="C27" s="1249"/>
      <c r="D27" s="794"/>
    </row>
    <row r="28" spans="1:4" ht="12.75">
      <c r="A28" s="1248"/>
      <c r="B28" s="793"/>
      <c r="C28" s="1249"/>
      <c r="D28" s="794"/>
    </row>
    <row r="29" spans="1:4" ht="12.75">
      <c r="A29" s="1248"/>
      <c r="B29" s="793"/>
      <c r="C29" s="1249"/>
      <c r="D29" s="794"/>
    </row>
    <row r="30" spans="1:4" ht="12.75">
      <c r="A30" s="1248"/>
      <c r="B30" s="793"/>
      <c r="C30" s="1249"/>
      <c r="D30" s="794"/>
    </row>
    <row r="31" spans="1:4" ht="12.75">
      <c r="A31" s="1248"/>
      <c r="B31" s="793"/>
      <c r="C31" s="1249"/>
      <c r="D31" s="794"/>
    </row>
    <row r="32" spans="1:4" ht="12.75">
      <c r="A32" s="1248"/>
      <c r="B32" s="793"/>
      <c r="C32" s="1249"/>
      <c r="D32" s="794"/>
    </row>
    <row r="33" spans="1:4" ht="12.75">
      <c r="A33" s="1248"/>
      <c r="B33" s="793"/>
      <c r="C33" s="1249"/>
      <c r="D33" s="794"/>
    </row>
    <row r="34" spans="1:4" ht="12.75">
      <c r="A34" s="1248"/>
      <c r="B34" s="793"/>
      <c r="C34" s="1249"/>
      <c r="D34" s="794"/>
    </row>
    <row r="35" spans="1:4" ht="12.75">
      <c r="A35" s="1248"/>
      <c r="B35" s="793"/>
      <c r="C35" s="1249"/>
      <c r="D35" s="794"/>
    </row>
    <row r="36" spans="1:4" ht="12.75">
      <c r="A36" s="1248"/>
      <c r="B36" s="793"/>
      <c r="C36" s="1249"/>
      <c r="D36" s="794"/>
    </row>
    <row r="37" spans="1:4" ht="12.75">
      <c r="A37" s="1248"/>
      <c r="B37" s="793"/>
      <c r="C37" s="1249"/>
      <c r="D37" s="794"/>
    </row>
    <row r="38" spans="1:4" ht="12.75">
      <c r="A38" s="1248"/>
      <c r="B38" s="793"/>
      <c r="C38" s="1249"/>
      <c r="D38" s="794"/>
    </row>
    <row r="39" spans="1:4" ht="12.75">
      <c r="A39" s="1248"/>
      <c r="B39" s="793"/>
      <c r="C39" s="1249"/>
      <c r="D39" s="794"/>
    </row>
    <row r="40" spans="1:4" ht="12.75">
      <c r="A40" s="1248"/>
      <c r="B40" s="793"/>
      <c r="C40" s="1249"/>
      <c r="D40" s="794"/>
    </row>
    <row r="41" spans="1:4" ht="12.75">
      <c r="A41" s="1248"/>
      <c r="B41" s="793"/>
      <c r="C41" s="1249"/>
      <c r="D41" s="794"/>
    </row>
    <row r="42" spans="1:4" ht="12.75">
      <c r="A42" s="1248"/>
      <c r="B42" s="793"/>
      <c r="C42" s="1249"/>
      <c r="D42" s="794"/>
    </row>
    <row r="43" spans="1:4" ht="12.75">
      <c r="A43" s="1248"/>
      <c r="B43" s="793"/>
      <c r="C43" s="1249"/>
      <c r="D43" s="794"/>
    </row>
    <row r="44" spans="1:4" ht="12.75">
      <c r="A44" s="1248"/>
      <c r="B44" s="793"/>
      <c r="C44" s="1249"/>
      <c r="D44" s="794"/>
    </row>
    <row r="45" spans="1:4" ht="12.75">
      <c r="A45" s="1248"/>
      <c r="B45" s="793"/>
      <c r="C45" s="1249"/>
      <c r="D45" s="794"/>
    </row>
    <row r="46" spans="1:4" ht="12.75">
      <c r="A46" s="1248"/>
      <c r="B46" s="793"/>
      <c r="C46" s="1249"/>
      <c r="D46" s="794"/>
    </row>
    <row r="47" spans="1:4" ht="12.75">
      <c r="A47" s="1248"/>
      <c r="B47" s="793"/>
      <c r="C47" s="1249"/>
      <c r="D47" s="794"/>
    </row>
    <row r="48" spans="1:4" ht="12.75">
      <c r="A48" s="1248"/>
      <c r="B48" s="793"/>
      <c r="C48" s="1249"/>
      <c r="D48" s="794"/>
    </row>
    <row r="49" spans="1:4" ht="12.75">
      <c r="A49" s="1248"/>
      <c r="B49" s="793"/>
      <c r="C49" s="1249"/>
      <c r="D49" s="794"/>
    </row>
    <row r="50" spans="1:4" ht="12.75">
      <c r="A50" s="1248"/>
      <c r="B50" s="793"/>
      <c r="C50" s="1249"/>
      <c r="D50" s="794"/>
    </row>
    <row r="51" spans="1:4" ht="12.75">
      <c r="A51" s="1248"/>
      <c r="B51" s="793"/>
      <c r="C51" s="1249"/>
      <c r="D51" s="794"/>
    </row>
    <row r="52" spans="1:4" ht="12.75">
      <c r="A52" s="1248"/>
      <c r="B52" s="793"/>
      <c r="C52" s="1249"/>
      <c r="D52" s="794"/>
    </row>
    <row r="53" spans="1:4" ht="12.75">
      <c r="A53" s="1248"/>
      <c r="B53" s="793"/>
      <c r="C53" s="1249"/>
      <c r="D53" s="794"/>
    </row>
    <row r="54" spans="1:4" ht="12.75">
      <c r="A54" s="1248"/>
      <c r="B54" s="793"/>
      <c r="C54" s="1249"/>
      <c r="D54" s="794"/>
    </row>
    <row r="55" spans="1:4" ht="12.75">
      <c r="A55" s="1248"/>
      <c r="B55" s="793"/>
      <c r="C55" s="1249"/>
      <c r="D55" s="794"/>
    </row>
    <row r="56" spans="1:4" ht="12.75">
      <c r="A56" s="1248"/>
      <c r="B56" s="793"/>
      <c r="C56" s="1249"/>
      <c r="D56" s="794"/>
    </row>
    <row r="57" spans="1:4" ht="12.75">
      <c r="A57" s="1248"/>
      <c r="B57" s="793"/>
      <c r="C57" s="1249"/>
      <c r="D57" s="794"/>
    </row>
    <row r="58" spans="1:4" ht="12.75">
      <c r="A58" s="1248"/>
      <c r="B58" s="793"/>
      <c r="C58" s="1249"/>
      <c r="D58" s="794"/>
    </row>
    <row r="59" spans="1:4" ht="12.75">
      <c r="A59" s="1248"/>
      <c r="B59" s="793"/>
      <c r="C59" s="1249"/>
      <c r="D59" s="794"/>
    </row>
    <row r="60" spans="1:4" ht="12.75">
      <c r="A60" s="1248"/>
      <c r="B60" s="793"/>
      <c r="C60" s="1249"/>
      <c r="D60" s="794"/>
    </row>
    <row r="61" spans="1:4" ht="12.75">
      <c r="A61" s="1248"/>
      <c r="B61" s="793"/>
      <c r="C61" s="1249"/>
      <c r="D61" s="794"/>
    </row>
    <row r="62" spans="1:4" ht="12.75">
      <c r="A62" s="1248"/>
      <c r="B62" s="793"/>
      <c r="C62" s="1249"/>
      <c r="D62" s="794"/>
    </row>
    <row r="63" spans="1:4" ht="12.75">
      <c r="A63" s="1248"/>
      <c r="B63" s="793"/>
      <c r="C63" s="1249"/>
      <c r="D63" s="794"/>
    </row>
    <row r="64" spans="1:4" ht="12.75">
      <c r="A64" s="1248"/>
      <c r="B64" s="793"/>
      <c r="C64" s="1249"/>
      <c r="D64" s="794"/>
    </row>
    <row r="65" spans="1:4" ht="12.75">
      <c r="A65" s="1248"/>
      <c r="B65" s="793"/>
      <c r="C65" s="1249"/>
      <c r="D65" s="794"/>
    </row>
    <row r="66" spans="1:4" ht="12.75">
      <c r="A66" s="1248"/>
      <c r="B66" s="793"/>
      <c r="C66" s="1249"/>
      <c r="D66" s="794"/>
    </row>
    <row r="67" spans="1:4" ht="12.75">
      <c r="A67" s="1248"/>
      <c r="B67" s="793"/>
      <c r="C67" s="1249"/>
      <c r="D67" s="794"/>
    </row>
    <row r="68" spans="1:4" ht="12.75">
      <c r="A68" s="1248"/>
      <c r="B68" s="793"/>
      <c r="C68" s="1249"/>
      <c r="D68" s="794"/>
    </row>
    <row r="69" spans="1:4" ht="12.75">
      <c r="A69" s="1248"/>
      <c r="B69" s="793"/>
      <c r="C69" s="1249"/>
      <c r="D69" s="794"/>
    </row>
    <row r="70" spans="1:4" ht="12.75">
      <c r="A70" s="1248"/>
      <c r="B70" s="793"/>
      <c r="C70" s="1249"/>
      <c r="D70" s="794"/>
    </row>
    <row r="71" spans="1:4" ht="12.75">
      <c r="A71" s="1248"/>
      <c r="B71" s="793"/>
      <c r="C71" s="1249"/>
      <c r="D71" s="794"/>
    </row>
    <row r="72" spans="1:4" ht="12.75">
      <c r="A72" s="1248"/>
      <c r="B72" s="793"/>
      <c r="C72" s="1249"/>
      <c r="D72" s="794"/>
    </row>
    <row r="73" spans="1:4" ht="12.75">
      <c r="A73" s="1248"/>
      <c r="B73" s="793"/>
      <c r="C73" s="1249"/>
      <c r="D73" s="794"/>
    </row>
    <row r="74" spans="1:4" ht="12.75">
      <c r="A74" s="1248"/>
      <c r="B74" s="793"/>
      <c r="C74" s="1249"/>
      <c r="D74" s="794"/>
    </row>
    <row r="75" spans="1:4" ht="12.75">
      <c r="A75" s="1248"/>
      <c r="B75" s="793"/>
      <c r="C75" s="1249"/>
      <c r="D75" s="794"/>
    </row>
    <row r="76" spans="1:4" ht="12.75">
      <c r="A76" s="1248"/>
      <c r="B76" s="793"/>
      <c r="C76" s="1249"/>
      <c r="D76" s="794"/>
    </row>
    <row r="77" spans="1:4" ht="12.75">
      <c r="A77" s="1248"/>
      <c r="B77" s="793"/>
      <c r="C77" s="1249"/>
      <c r="D77" s="794"/>
    </row>
    <row r="78" spans="1:4" ht="12.75">
      <c r="A78" s="1248"/>
      <c r="B78" s="793"/>
      <c r="C78" s="1249"/>
      <c r="D78" s="794"/>
    </row>
    <row r="79" spans="1:4" ht="12.75">
      <c r="A79" s="1248"/>
      <c r="B79" s="793"/>
      <c r="C79" s="1249"/>
      <c r="D79" s="794"/>
    </row>
    <row r="80" spans="1:4" ht="12.75">
      <c r="A80" s="1248"/>
      <c r="B80" s="793"/>
      <c r="C80" s="1249"/>
      <c r="D80" s="794"/>
    </row>
    <row r="81" spans="1:4" ht="12.75">
      <c r="A81" s="1248"/>
      <c r="B81" s="793"/>
      <c r="C81" s="1249"/>
      <c r="D81" s="794"/>
    </row>
    <row r="82" spans="1:4" ht="12.75">
      <c r="A82" s="1248"/>
      <c r="B82" s="793"/>
      <c r="C82" s="1249"/>
      <c r="D82" s="794"/>
    </row>
    <row r="83" spans="1:4" ht="12.75">
      <c r="A83" s="1248"/>
      <c r="B83" s="793"/>
      <c r="C83" s="1249"/>
      <c r="D83" s="794"/>
    </row>
    <row r="84" spans="1:4" ht="12.75">
      <c r="A84" s="1248"/>
      <c r="B84" s="793"/>
      <c r="C84" s="1249"/>
      <c r="D84" s="794"/>
    </row>
    <row r="85" spans="1:4" ht="12.75">
      <c r="A85" s="1248"/>
      <c r="B85" s="793"/>
      <c r="C85" s="1249"/>
      <c r="D85" s="794"/>
    </row>
    <row r="86" spans="1:4" ht="12.75">
      <c r="A86" s="1248"/>
      <c r="B86" s="793"/>
      <c r="C86" s="1249"/>
      <c r="D86" s="794"/>
    </row>
    <row r="87" spans="1:4" ht="12.75">
      <c r="A87" s="1248"/>
      <c r="B87" s="793"/>
      <c r="C87" s="1249"/>
      <c r="D87" s="794"/>
    </row>
    <row r="88" spans="1:4" ht="12.75">
      <c r="A88" s="1248"/>
      <c r="B88" s="793"/>
      <c r="C88" s="1249"/>
      <c r="D88" s="794"/>
    </row>
    <row r="89" spans="1:4" ht="12.75">
      <c r="A89" s="1248"/>
      <c r="B89" s="793"/>
      <c r="C89" s="1249"/>
      <c r="D89" s="794"/>
    </row>
    <row r="90" spans="1:4" ht="12.75">
      <c r="A90" s="1248"/>
      <c r="B90" s="793"/>
      <c r="C90" s="1249"/>
      <c r="D90" s="794"/>
    </row>
    <row r="91" spans="1:4" ht="12.75">
      <c r="A91" s="1248"/>
      <c r="B91" s="793"/>
      <c r="C91" s="1249"/>
      <c r="D91" s="794"/>
    </row>
    <row r="92" spans="1:4" ht="12.75">
      <c r="A92" s="1248"/>
      <c r="B92" s="793"/>
      <c r="C92" s="1249"/>
      <c r="D92" s="794"/>
    </row>
    <row r="93" spans="1:4" ht="12.75">
      <c r="A93" s="1248"/>
      <c r="B93" s="793"/>
      <c r="C93" s="1249"/>
      <c r="D93" s="794"/>
    </row>
    <row r="94" spans="1:4" ht="12.75">
      <c r="A94" s="1248"/>
      <c r="B94" s="793"/>
      <c r="C94" s="1249"/>
      <c r="D94" s="794"/>
    </row>
    <row r="95" spans="1:4" ht="12.75">
      <c r="A95" s="1248"/>
      <c r="B95" s="793"/>
      <c r="C95" s="1249"/>
      <c r="D95" s="794"/>
    </row>
    <row r="96" spans="1:4" ht="12.75">
      <c r="A96" s="1248"/>
      <c r="B96" s="793"/>
      <c r="C96" s="1249"/>
      <c r="D96" s="794"/>
    </row>
    <row r="97" spans="1:4" ht="12.75">
      <c r="A97" s="1248"/>
      <c r="B97" s="793"/>
      <c r="C97" s="1249"/>
      <c r="D97" s="794"/>
    </row>
    <row r="98" spans="1:4" ht="12.75">
      <c r="A98" s="1248"/>
      <c r="B98" s="793"/>
      <c r="C98" s="1249"/>
      <c r="D98" s="794"/>
    </row>
    <row r="99" spans="1:4" ht="12.75">
      <c r="A99" s="1252"/>
      <c r="B99" s="1253"/>
      <c r="C99" s="1453"/>
      <c r="D99" s="794"/>
    </row>
    <row r="100" spans="1:4" ht="12.75">
      <c r="A100" s="793"/>
      <c r="B100" s="793"/>
      <c r="C100" s="1238"/>
      <c r="D100" s="794"/>
    </row>
    <row r="101" spans="1:4" ht="12.75">
      <c r="A101" s="793"/>
      <c r="B101" s="793"/>
      <c r="C101" s="1238"/>
      <c r="D101" s="794"/>
    </row>
    <row r="102" spans="1:4" ht="12.75">
      <c r="A102" s="793"/>
      <c r="B102" s="793"/>
      <c r="C102" s="1238"/>
      <c r="D102" s="794"/>
    </row>
    <row r="103" spans="1:4" ht="12.75">
      <c r="A103" s="793"/>
      <c r="B103" s="793"/>
      <c r="C103" s="1238"/>
      <c r="D103" s="794"/>
    </row>
    <row r="104" spans="1:4" ht="12.75">
      <c r="A104" s="793"/>
      <c r="B104" s="793"/>
      <c r="C104" s="1238"/>
      <c r="D104" s="794"/>
    </row>
    <row r="105" spans="1:4" ht="12.75">
      <c r="A105" s="793"/>
      <c r="B105" s="793"/>
      <c r="C105" s="1238"/>
      <c r="D105" s="794"/>
    </row>
  </sheetData>
  <sheetProtection/>
  <dataValidations count="3">
    <dataValidation type="textLength" allowBlank="1" showInputMessage="1" showErrorMessage="1" sqref="C101:C65536 B6:B65536">
      <formula1>1</formula1>
      <formula2>4</formula2>
    </dataValidation>
    <dataValidation type="textLength" allowBlank="1" showInputMessage="1" showErrorMessage="1" sqref="A6:A65536 A2:A4">
      <formula1>1</formula1>
      <formula2>13</formula2>
    </dataValidation>
    <dataValidation type="textLength" allowBlank="1" showInputMessage="1" showErrorMessage="1" sqref="C6:C100">
      <formula1>0</formula1>
      <formula2>999999999</formula2>
    </dataValidation>
  </dataValidations>
  <printOptions horizontalCentered="1"/>
  <pageMargins left="0.78" right="0.75" top="1" bottom="1" header="0.5" footer="0.5"/>
  <pageSetup horizontalDpi="600" verticalDpi="600" orientation="portrait" r:id="rId3"/>
  <headerFooter alignWithMargins="0">
    <oddHeader>&amp;R&amp;"Arial,Bold"March 2012</oddHeader>
  </headerFooter>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P42"/>
  <sheetViews>
    <sheetView showGridLines="0" zoomScale="80" zoomScaleNormal="80" zoomScalePageLayoutView="0" workbookViewId="0" topLeftCell="A1">
      <selection activeCell="A1" sqref="A1"/>
    </sheetView>
  </sheetViews>
  <sheetFormatPr defaultColWidth="9.140625" defaultRowHeight="12.75"/>
  <cols>
    <col min="1" max="6" width="11.7109375" style="573" customWidth="1"/>
    <col min="7" max="7" width="15.140625" style="573" customWidth="1"/>
    <col min="8" max="8" width="20.00390625" style="573" customWidth="1"/>
    <col min="9" max="10" width="10.7109375" style="573" customWidth="1"/>
    <col min="11" max="16384" width="9.140625" style="573" customWidth="1"/>
  </cols>
  <sheetData>
    <row r="1" spans="1:10" s="563" customFormat="1" ht="12" customHeight="1" thickTop="1">
      <c r="A1" s="558"/>
      <c r="B1" s="559"/>
      <c r="C1" s="559"/>
      <c r="D1" s="559"/>
      <c r="E1" s="559"/>
      <c r="F1" s="559"/>
      <c r="G1" s="559"/>
      <c r="H1" s="560" t="s">
        <v>2557</v>
      </c>
      <c r="I1" s="561"/>
      <c r="J1" s="562"/>
    </row>
    <row r="2" spans="1:10" s="563" customFormat="1" ht="12" customHeight="1">
      <c r="A2" s="564" t="s">
        <v>906</v>
      </c>
      <c r="B2" s="565"/>
      <c r="C2" s="565"/>
      <c r="D2" s="565"/>
      <c r="E2" s="565"/>
      <c r="F2" s="565"/>
      <c r="G2" s="565"/>
      <c r="H2" s="566"/>
      <c r="I2" s="561"/>
      <c r="J2" s="562"/>
    </row>
    <row r="3" spans="1:10" s="563" customFormat="1" ht="12" customHeight="1">
      <c r="A3" s="564" t="s">
        <v>907</v>
      </c>
      <c r="B3" s="565"/>
      <c r="C3" s="565"/>
      <c r="D3" s="565"/>
      <c r="E3" s="565"/>
      <c r="F3" s="565"/>
      <c r="G3" s="565"/>
      <c r="H3" s="566"/>
      <c r="I3" s="561"/>
      <c r="J3" s="562"/>
    </row>
    <row r="4" spans="1:10" s="563" customFormat="1" ht="12" customHeight="1">
      <c r="A4" s="564" t="s">
        <v>908</v>
      </c>
      <c r="B4" s="565"/>
      <c r="C4" s="565"/>
      <c r="D4" s="565"/>
      <c r="E4" s="565"/>
      <c r="F4" s="565"/>
      <c r="G4" s="565"/>
      <c r="H4" s="566"/>
      <c r="I4" s="561"/>
      <c r="J4" s="562"/>
    </row>
    <row r="5" spans="1:10" s="563" customFormat="1" ht="12" customHeight="1" thickBot="1">
      <c r="A5" s="567"/>
      <c r="B5" s="568"/>
      <c r="C5" s="568"/>
      <c r="D5" s="568"/>
      <c r="E5" s="568"/>
      <c r="F5" s="568"/>
      <c r="G5" s="568"/>
      <c r="H5" s="569"/>
      <c r="I5" s="561"/>
      <c r="J5" s="562"/>
    </row>
    <row r="6" spans="1:10" ht="19.5" customHeight="1" thickTop="1">
      <c r="A6" s="570" t="s">
        <v>1088</v>
      </c>
      <c r="B6" s="571"/>
      <c r="C6" s="571"/>
      <c r="D6" s="571"/>
      <c r="E6" s="571"/>
      <c r="F6" s="571"/>
      <c r="G6" s="571"/>
      <c r="H6" s="571"/>
      <c r="I6" s="572"/>
      <c r="J6" s="571"/>
    </row>
    <row r="7" spans="1:10" ht="15" customHeight="1">
      <c r="A7" s="679" t="s">
        <v>1089</v>
      </c>
      <c r="C7" s="574">
        <f>IF('Design Data'!K10="","",(CONCATENATE("# ",'Design Data'!H10,", ",'Design Data'!K10," County")))</f>
      </c>
      <c r="D7" s="575"/>
      <c r="E7" s="576"/>
      <c r="F7" s="577" t="s">
        <v>1085</v>
      </c>
      <c r="G7" s="1648">
        <f>'Chart Data'!W14</f>
      </c>
      <c r="H7" s="1648"/>
      <c r="J7" s="578"/>
    </row>
    <row r="8" spans="1:8" ht="15" customHeight="1">
      <c r="A8" s="573" t="s">
        <v>1090</v>
      </c>
      <c r="C8" s="579"/>
      <c r="D8" s="580"/>
      <c r="E8" s="581"/>
      <c r="G8" s="1649"/>
      <c r="H8" s="1649"/>
    </row>
    <row r="9" spans="1:8" ht="15" customHeight="1">
      <c r="A9" s="573" t="s">
        <v>1092</v>
      </c>
      <c r="C9" s="582"/>
      <c r="D9" s="581"/>
      <c r="E9" s="581"/>
      <c r="F9" s="577" t="s">
        <v>1093</v>
      </c>
      <c r="G9" s="582"/>
      <c r="H9" s="583"/>
    </row>
    <row r="10" spans="1:8" ht="15" customHeight="1">
      <c r="A10" s="573" t="s">
        <v>1094</v>
      </c>
      <c r="C10" s="729" t="s">
        <v>1095</v>
      </c>
      <c r="D10" s="584"/>
      <c r="E10" s="584"/>
      <c r="F10" s="577" t="s">
        <v>1091</v>
      </c>
      <c r="G10" s="1646"/>
      <c r="H10" s="1647"/>
    </row>
    <row r="11" spans="1:8" ht="25.5" customHeight="1">
      <c r="A11" s="585" t="s">
        <v>1096</v>
      </c>
      <c r="C11" s="586"/>
      <c r="D11" s="587"/>
      <c r="E11" s="588"/>
      <c r="F11" s="578"/>
      <c r="G11" s="578"/>
      <c r="H11" s="578"/>
    </row>
    <row r="12" spans="1:12" ht="24.75" customHeight="1" thickBot="1">
      <c r="A12" s="570" t="s">
        <v>1097</v>
      </c>
      <c r="B12" s="571"/>
      <c r="C12" s="571"/>
      <c r="D12" s="571"/>
      <c r="E12" s="571"/>
      <c r="F12" s="571"/>
      <c r="G12" s="571"/>
      <c r="H12" s="571"/>
      <c r="J12"/>
      <c r="K12"/>
      <c r="L12"/>
    </row>
    <row r="13" spans="1:12" ht="15" thickTop="1">
      <c r="A13"/>
      <c r="B13" s="592" t="s">
        <v>964</v>
      </c>
      <c r="C13" s="593" t="s">
        <v>1098</v>
      </c>
      <c r="D13" s="593" t="s">
        <v>1099</v>
      </c>
      <c r="E13" s="594" t="s">
        <v>1100</v>
      </c>
      <c r="F13" s="595" t="s">
        <v>1101</v>
      </c>
      <c r="G13" s="596" t="s">
        <v>967</v>
      </c>
      <c r="J13" s="589" t="s">
        <v>966</v>
      </c>
      <c r="K13" s="590" t="s">
        <v>1102</v>
      </c>
      <c r="L13" s="591" t="s">
        <v>1103</v>
      </c>
    </row>
    <row r="14" spans="1:12" ht="13.5" thickBot="1">
      <c r="A14"/>
      <c r="B14" s="600"/>
      <c r="C14" s="601"/>
      <c r="D14" s="601" t="s">
        <v>983</v>
      </c>
      <c r="E14" s="601" t="s">
        <v>983</v>
      </c>
      <c r="F14" s="602" t="s">
        <v>983</v>
      </c>
      <c r="G14" s="603"/>
      <c r="J14" s="597" t="s">
        <v>1104</v>
      </c>
      <c r="K14" s="598" t="s">
        <v>1104</v>
      </c>
      <c r="L14" s="599"/>
    </row>
    <row r="15" spans="1:12" ht="18" customHeight="1" thickTop="1">
      <c r="A15"/>
      <c r="B15" s="611"/>
      <c r="C15" s="607">
        <v>1</v>
      </c>
      <c r="D15" s="608"/>
      <c r="E15" s="608"/>
      <c r="F15" s="609"/>
      <c r="G15" s="610">
        <f>IF(D15="","",(D15/(F15-E15)))</f>
      </c>
      <c r="H15" s="612" t="s">
        <v>905</v>
      </c>
      <c r="I15" s="612" t="s">
        <v>905</v>
      </c>
      <c r="J15" s="604">
        <f>IF(F15="","",(F15-E15))</f>
      </c>
      <c r="K15" s="605">
        <f>IF(D15="","",(D15/J15))</f>
      </c>
      <c r="L15" s="606">
        <f>IF(K15="","",(K15*62.4))</f>
      </c>
    </row>
    <row r="16" spans="1:12" ht="18" customHeight="1" thickBot="1">
      <c r="A16"/>
      <c r="B16" s="682"/>
      <c r="C16" s="601">
        <v>2</v>
      </c>
      <c r="D16" s="613"/>
      <c r="E16" s="613"/>
      <c r="F16" s="614"/>
      <c r="G16" s="615">
        <f>IF(D16="","",(D16/(F16-E16)))</f>
      </c>
      <c r="H16" s="573" t="s">
        <v>905</v>
      </c>
      <c r="I16" s="573" t="s">
        <v>905</v>
      </c>
      <c r="J16" s="604">
        <f>IF(F16="","",(F16-E16))</f>
      </c>
      <c r="K16" s="605">
        <f>IF(D16="","",(D16/J16))</f>
      </c>
      <c r="L16" s="606">
        <f>IF(K16="","",(K16*62.4))</f>
      </c>
    </row>
    <row r="17" spans="1:12" ht="24.75" customHeight="1" thickBot="1" thickTop="1">
      <c r="A17" s="570" t="s">
        <v>1105</v>
      </c>
      <c r="B17" s="571"/>
      <c r="C17" s="571"/>
      <c r="D17" s="571"/>
      <c r="E17" s="571"/>
      <c r="F17" s="571"/>
      <c r="G17" s="571"/>
      <c r="H17" s="571"/>
      <c r="I17" s="573" t="s">
        <v>905</v>
      </c>
      <c r="J17" s="616">
        <f>IF(J15="","",(SUM(J15:J16)/2))</f>
      </c>
      <c r="K17" s="617">
        <f>IF(K15="","",AVERAGE(K15:K16))</f>
      </c>
      <c r="L17" s="618">
        <f>IF(L15="","",AVERAGE(L15:L16))</f>
      </c>
    </row>
    <row r="18" spans="1:12" ht="19.5" customHeight="1" thickTop="1">
      <c r="A18" s="619" t="s">
        <v>1106</v>
      </c>
      <c r="B18" s="620"/>
      <c r="C18" s="620"/>
      <c r="D18" s="620"/>
      <c r="E18" s="1091"/>
      <c r="F18" s="621"/>
      <c r="G18" s="622"/>
      <c r="H18" s="578"/>
      <c r="I18" s="573" t="s">
        <v>905</v>
      </c>
      <c r="J18" s="623" t="s">
        <v>1104</v>
      </c>
      <c r="L18" s="623" t="s">
        <v>1104</v>
      </c>
    </row>
    <row r="19" spans="1:8" ht="19.5" customHeight="1">
      <c r="A19" s="624" t="s">
        <v>1107</v>
      </c>
      <c r="B19" s="625"/>
      <c r="C19" s="625"/>
      <c r="D19" s="625"/>
      <c r="E19" s="631"/>
      <c r="F19" s="626"/>
      <c r="G19" s="627"/>
      <c r="H19" s="578"/>
    </row>
    <row r="20" spans="1:12" ht="19.5" customHeight="1" thickBot="1">
      <c r="A20" s="624" t="s">
        <v>1108</v>
      </c>
      <c r="B20" s="625"/>
      <c r="C20" s="625"/>
      <c r="D20" s="625"/>
      <c r="E20" s="1092">
        <f>IF(E18="","",E18-E19)</f>
      </c>
      <c r="F20" s="628">
        <f>IF(F18="","",F18-F19)</f>
      </c>
      <c r="G20" s="629">
        <f>IF(G18="","",G18-G19)</f>
      </c>
      <c r="H20" s="578"/>
      <c r="J20" s="630" t="s">
        <v>1104</v>
      </c>
      <c r="L20" s="623" t="s">
        <v>1104</v>
      </c>
    </row>
    <row r="21" spans="1:11" ht="19.5" customHeight="1" thickTop="1">
      <c r="A21" s="624" t="s">
        <v>1109</v>
      </c>
      <c r="B21" s="625"/>
      <c r="C21" s="625"/>
      <c r="D21" s="625"/>
      <c r="E21" s="631"/>
      <c r="F21" s="608"/>
      <c r="G21" s="632"/>
      <c r="H21" s="578"/>
      <c r="J21" s="633" t="s">
        <v>1110</v>
      </c>
      <c r="K21" s="634">
        <f>IF(C33="","",C33)</f>
      </c>
    </row>
    <row r="22" spans="1:11" ht="19.5" customHeight="1">
      <c r="A22" s="624" t="s">
        <v>1111</v>
      </c>
      <c r="B22" s="625"/>
      <c r="C22" s="625"/>
      <c r="D22" s="635"/>
      <c r="E22" s="643">
        <f>IF(E18="","",E20+E21)</f>
      </c>
      <c r="F22" s="636">
        <f>IF(F18="","",F20+F21)</f>
      </c>
      <c r="G22" s="637">
        <f>IF(G18="","",G20+G21)</f>
      </c>
      <c r="H22" s="588" t="s">
        <v>992</v>
      </c>
      <c r="J22" s="638" t="s">
        <v>1116</v>
      </c>
      <c r="K22" s="639">
        <v>1.03</v>
      </c>
    </row>
    <row r="23" spans="1:11" ht="19.5" customHeight="1">
      <c r="A23" s="624" t="s">
        <v>1117</v>
      </c>
      <c r="B23" s="625"/>
      <c r="C23" s="625"/>
      <c r="D23" s="625"/>
      <c r="E23" s="631"/>
      <c r="F23" s="608"/>
      <c r="G23" s="632"/>
      <c r="H23" s="640"/>
      <c r="J23" s="638"/>
      <c r="K23" s="599"/>
    </row>
    <row r="24" spans="1:11" ht="19.5" customHeight="1" thickBot="1">
      <c r="A24" s="641" t="s">
        <v>1118</v>
      </c>
      <c r="B24" s="625"/>
      <c r="C24" s="625"/>
      <c r="D24" s="642"/>
      <c r="E24" s="643">
        <f>IF(E18="","",E22-E23)</f>
      </c>
      <c r="F24" s="636">
        <f>IF(F18="","",F22-F23)</f>
      </c>
      <c r="G24" s="637">
        <f>IF(G18="","",G22-G23)</f>
      </c>
      <c r="H24" s="640"/>
      <c r="J24" s="644" t="s">
        <v>1119</v>
      </c>
      <c r="K24" s="645">
        <f>IF(H25="","",IF(H28="",(100-B15)/((100/H25)-(B15/K22)),(100-B15)/((100/H28)-(B15/K22))))</f>
      </c>
    </row>
    <row r="25" spans="1:8" ht="19.5" customHeight="1" thickBot="1" thickTop="1">
      <c r="A25" s="641" t="s">
        <v>1120</v>
      </c>
      <c r="B25" s="625"/>
      <c r="C25" s="625"/>
      <c r="D25" s="646"/>
      <c r="E25" s="647">
        <f>IF(E18="","",E20/E24)</f>
      </c>
      <c r="F25" s="648">
        <f>IF(F18="","",F20/F24)</f>
      </c>
      <c r="G25" s="649">
        <f>IF(G18="","",G20/G24)</f>
      </c>
      <c r="H25" s="650">
        <f>IF(E25="","",AVERAGE(E25:G25))</f>
      </c>
    </row>
    <row r="26" spans="1:8" ht="19.5" customHeight="1" thickTop="1">
      <c r="A26" s="641" t="s">
        <v>1121</v>
      </c>
      <c r="B26" s="625"/>
      <c r="C26" s="625"/>
      <c r="D26" s="651"/>
      <c r="E26" s="1093"/>
      <c r="F26" s="652"/>
      <c r="G26" s="627"/>
      <c r="H26" s="578"/>
    </row>
    <row r="27" spans="1:8" ht="19.5" customHeight="1" thickBot="1">
      <c r="A27" s="641" t="s">
        <v>1213</v>
      </c>
      <c r="B27" s="625"/>
      <c r="C27" s="625"/>
      <c r="D27" s="625"/>
      <c r="E27" s="653">
        <f>IF(E26="","",E24+E26)</f>
      </c>
      <c r="F27" s="654">
        <f>IF(F26="","",F24+F26)</f>
      </c>
      <c r="G27" s="655">
        <f>IF(G26="","",G24+G26)</f>
      </c>
      <c r="H27" s="578"/>
    </row>
    <row r="28" spans="1:8" ht="19.5" customHeight="1" thickBot="1" thickTop="1">
      <c r="A28" s="644" t="s">
        <v>1214</v>
      </c>
      <c r="B28" s="656"/>
      <c r="C28" s="656"/>
      <c r="D28" s="656"/>
      <c r="E28" s="657">
        <f>IF(E27="","",E20/E27)</f>
      </c>
      <c r="F28" s="658">
        <f>IF(F27="","",F20/F27)</f>
      </c>
      <c r="G28" s="659">
        <f>IF(G27="","",G20/G27)</f>
      </c>
      <c r="H28" s="660">
        <f>IF(E28="","",AVERAGE(E28:G28))</f>
      </c>
    </row>
    <row r="29" spans="1:8" ht="24.75" customHeight="1" thickBot="1" thickTop="1">
      <c r="A29" s="570" t="s">
        <v>1215</v>
      </c>
      <c r="B29" s="571"/>
      <c r="C29" s="571"/>
      <c r="D29" s="571"/>
      <c r="E29" s="571"/>
      <c r="F29" s="571"/>
      <c r="G29" s="571"/>
      <c r="H29" s="571"/>
    </row>
    <row r="30" spans="1:14" ht="18" customHeight="1" thickTop="1">
      <c r="A30" s="661" t="s">
        <v>1216</v>
      </c>
      <c r="B30" s="620"/>
      <c r="C30" s="662">
        <f>IF(L17="","",L17)</f>
      </c>
      <c r="D30" s="672" t="s">
        <v>1217</v>
      </c>
      <c r="E30" s="673">
        <f>IF($C$33="","",('Design Data'!$T$28/E32))</f>
      </c>
      <c r="F30" s="806" t="s">
        <v>1218</v>
      </c>
      <c r="G30" s="620"/>
      <c r="H30" s="674">
        <f>IF(B15="","",B15)</f>
      </c>
      <c r="J30"/>
      <c r="K30"/>
      <c r="L30"/>
      <c r="M30"/>
      <c r="N30"/>
    </row>
    <row r="31" spans="1:14" ht="18" customHeight="1">
      <c r="A31" s="624" t="s">
        <v>1219</v>
      </c>
      <c r="B31" s="625"/>
      <c r="C31" s="655">
        <f>IF(E31="","",((+E31-K17)/E31)*100)</f>
      </c>
      <c r="D31" s="680" t="s">
        <v>1220</v>
      </c>
      <c r="E31" s="663">
        <f>IF(H28="",H25,H28)</f>
      </c>
      <c r="F31" s="625" t="s">
        <v>1221</v>
      </c>
      <c r="G31" s="625"/>
      <c r="H31" s="664">
        <f>IF(C33="","",(100-(K17*(100-B15)/C33)))</f>
      </c>
      <c r="J31"/>
      <c r="K31"/>
      <c r="L31"/>
      <c r="M31"/>
      <c r="N31"/>
    </row>
    <row r="32" spans="1:16" ht="18" customHeight="1">
      <c r="A32" s="624" t="s">
        <v>1222</v>
      </c>
      <c r="B32" s="625"/>
      <c r="C32" s="664">
        <f>IF(C31="","",(H31-C31)/H31*100)</f>
      </c>
      <c r="D32" s="625" t="s">
        <v>1223</v>
      </c>
      <c r="E32" s="664">
        <f>IF(B15="","",(B15-H32))</f>
      </c>
      <c r="F32" s="625" t="s">
        <v>1224</v>
      </c>
      <c r="G32" s="625"/>
      <c r="H32" s="665">
        <f>IF(E33="","",(K24-K21)/(K24*K21)*K22*(100-E33))</f>
      </c>
      <c r="J32"/>
      <c r="K32"/>
      <c r="L32"/>
      <c r="M32"/>
      <c r="N32"/>
      <c r="P32" s="666" t="s">
        <v>905</v>
      </c>
    </row>
    <row r="33" spans="1:14" ht="18" customHeight="1" thickBot="1">
      <c r="A33" s="644" t="s">
        <v>1225</v>
      </c>
      <c r="B33" s="656"/>
      <c r="C33" s="667"/>
      <c r="D33" s="668" t="s">
        <v>1226</v>
      </c>
      <c r="E33" s="659">
        <f>K24</f>
      </c>
      <c r="F33" s="668" t="s">
        <v>1227</v>
      </c>
      <c r="G33" s="656"/>
      <c r="H33" s="669">
        <f>IF('Design Data'!H20="","",'Design Data'!H20)</f>
      </c>
      <c r="J33"/>
      <c r="K33"/>
      <c r="L33"/>
      <c r="M33"/>
      <c r="N33"/>
    </row>
    <row r="34" spans="1:14" ht="19.5" customHeight="1" thickTop="1">
      <c r="A34" s="585"/>
      <c r="J34"/>
      <c r="K34"/>
      <c r="L34"/>
      <c r="M34"/>
      <c r="N34"/>
    </row>
    <row r="35" spans="1:11" ht="19.5" customHeight="1">
      <c r="A35" s="577" t="s">
        <v>1228</v>
      </c>
      <c r="B35" s="577"/>
      <c r="C35" s="577"/>
      <c r="D35" s="670"/>
      <c r="E35" s="671"/>
      <c r="F35" s="671"/>
      <c r="G35" s="671"/>
      <c r="H35" s="671"/>
      <c r="J35"/>
      <c r="K35"/>
    </row>
    <row r="36" spans="1:11" ht="19.5" customHeight="1">
      <c r="A36" s="671"/>
      <c r="B36" s="671"/>
      <c r="C36" s="671"/>
      <c r="D36" s="671"/>
      <c r="E36" s="671"/>
      <c r="F36" s="671"/>
      <c r="G36" s="671"/>
      <c r="H36" s="671"/>
      <c r="K36" s="573" t="s">
        <v>905</v>
      </c>
    </row>
    <row r="37" spans="1:11" ht="19.5" customHeight="1">
      <c r="A37" s="671"/>
      <c r="B37" s="671"/>
      <c r="C37" s="671"/>
      <c r="D37" s="671"/>
      <c r="E37" s="671"/>
      <c r="F37" s="671"/>
      <c r="G37" s="671"/>
      <c r="H37" s="671"/>
      <c r="K37" s="573" t="s">
        <v>905</v>
      </c>
    </row>
    <row r="38" spans="1:8" ht="15" customHeight="1">
      <c r="A38"/>
      <c r="B38"/>
      <c r="C38"/>
      <c r="D38"/>
      <c r="E38"/>
      <c r="F38"/>
      <c r="G38"/>
      <c r="H38"/>
    </row>
    <row r="39" spans="1:8" ht="15" customHeight="1">
      <c r="A39"/>
      <c r="B39"/>
      <c r="C39"/>
      <c r="D39"/>
      <c r="E39"/>
      <c r="F39"/>
      <c r="G39"/>
      <c r="H39"/>
    </row>
    <row r="40" spans="1:8" ht="15" customHeight="1">
      <c r="A40"/>
      <c r="B40"/>
      <c r="C40"/>
      <c r="D40"/>
      <c r="E40"/>
      <c r="F40"/>
      <c r="G40"/>
      <c r="H40"/>
    </row>
    <row r="41" spans="1:8" ht="15" customHeight="1">
      <c r="A41"/>
      <c r="B41"/>
      <c r="C41"/>
      <c r="D41"/>
      <c r="E41"/>
      <c r="F41"/>
      <c r="G41"/>
      <c r="H41"/>
    </row>
    <row r="42" spans="1:8" ht="15" customHeight="1">
      <c r="A42"/>
      <c r="B42"/>
      <c r="C42"/>
      <c r="D42"/>
      <c r="E42"/>
      <c r="F42"/>
      <c r="G42"/>
      <c r="H42"/>
    </row>
  </sheetData>
  <sheetProtection password="C550" sheet="1" objects="1" scenarios="1"/>
  <mergeCells count="2">
    <mergeCell ref="G10:H10"/>
    <mergeCell ref="G7:H8"/>
  </mergeCells>
  <dataValidations count="1">
    <dataValidation type="decimal" allowBlank="1" showInputMessage="1" showErrorMessage="1" sqref="C33">
      <formula1>0</formula1>
      <formula2>4</formula2>
    </dataValidation>
  </dataValidations>
  <printOptions horizontalCentered="1"/>
  <pageMargins left="0.25" right="0.25" top="0.5" bottom="0" header="0.25" footer="0.25"/>
  <pageSetup fitToHeight="1" fitToWidth="1" horizontalDpi="600" verticalDpi="600" orientation="portrait" scale="98" r:id="rId2"/>
  <legacyDrawing r:id="rId1"/>
</worksheet>
</file>

<file path=xl/worksheets/sheet7.xml><?xml version="1.0" encoding="utf-8"?>
<worksheet xmlns="http://schemas.openxmlformats.org/spreadsheetml/2006/main" xmlns:r="http://schemas.openxmlformats.org/officeDocument/2006/relationships">
  <sheetPr codeName="Sheet4"/>
  <dimension ref="A1:Z193"/>
  <sheetViews>
    <sheetView showGridLines="0" showZeros="0" zoomScale="85" zoomScaleNormal="85" zoomScalePageLayoutView="0" workbookViewId="0" topLeftCell="A1">
      <selection activeCell="A1" sqref="A1"/>
    </sheetView>
  </sheetViews>
  <sheetFormatPr defaultColWidth="9.140625" defaultRowHeight="12.75"/>
  <cols>
    <col min="1" max="11" width="9.28125" style="106" customWidth="1"/>
    <col min="12" max="16384" width="9.140625" style="106" customWidth="1"/>
  </cols>
  <sheetData>
    <row r="1" spans="1:26" ht="12.75">
      <c r="A1" s="1450"/>
      <c r="E1" s="107"/>
      <c r="F1" s="108" t="s">
        <v>1229</v>
      </c>
      <c r="J1" s="107"/>
      <c r="K1" s="1442" t="s">
        <v>2557</v>
      </c>
      <c r="L1" s="107"/>
      <c r="M1" s="107"/>
      <c r="N1" s="107"/>
      <c r="O1" s="107"/>
      <c r="P1" s="107"/>
      <c r="Q1" s="107"/>
      <c r="R1" s="107"/>
      <c r="S1" s="107"/>
      <c r="T1" s="107"/>
      <c r="U1" s="107"/>
      <c r="V1" s="107"/>
      <c r="W1" s="107"/>
      <c r="X1" s="107"/>
      <c r="Y1" s="107"/>
      <c r="Z1" s="107"/>
    </row>
    <row r="2" spans="5:26" ht="12.75">
      <c r="E2" s="107"/>
      <c r="F2" s="108" t="s">
        <v>1230</v>
      </c>
      <c r="K2" s="107"/>
      <c r="L2" s="107"/>
      <c r="M2" s="107"/>
      <c r="N2" s="107"/>
      <c r="O2" s="107"/>
      <c r="P2" s="107"/>
      <c r="Q2" s="107"/>
      <c r="R2" s="107"/>
      <c r="S2" s="107"/>
      <c r="T2" s="107"/>
      <c r="U2" s="107"/>
      <c r="V2" s="107"/>
      <c r="W2" s="107"/>
      <c r="X2" s="107"/>
      <c r="Y2" s="107"/>
      <c r="Z2" s="107"/>
    </row>
    <row r="3" spans="5:26" ht="12.75">
      <c r="E3" s="107"/>
      <c r="F3" s="108" t="s">
        <v>1231</v>
      </c>
      <c r="K3" s="107"/>
      <c r="L3" s="107"/>
      <c r="M3" s="107"/>
      <c r="N3" s="107"/>
      <c r="O3" s="107"/>
      <c r="P3" s="107"/>
      <c r="Q3" s="107"/>
      <c r="R3" s="107"/>
      <c r="S3" s="107"/>
      <c r="T3" s="107"/>
      <c r="U3" s="107"/>
      <c r="V3" s="107"/>
      <c r="W3" s="107"/>
      <c r="X3" s="107"/>
      <c r="Y3" s="107"/>
      <c r="Z3" s="107"/>
    </row>
    <row r="4" spans="11:26" ht="12.75">
      <c r="K4" s="107"/>
      <c r="L4" s="107"/>
      <c r="M4" s="107"/>
      <c r="N4" s="107"/>
      <c r="O4" s="107"/>
      <c r="P4" s="107"/>
      <c r="Q4" s="107"/>
      <c r="R4" s="107"/>
      <c r="S4" s="107"/>
      <c r="T4" s="107"/>
      <c r="U4" s="107"/>
      <c r="V4" s="107"/>
      <c r="W4" s="107"/>
      <c r="X4" s="107"/>
      <c r="Y4" s="107"/>
      <c r="Z4" s="107"/>
    </row>
    <row r="5" spans="1:26" ht="12.75">
      <c r="A5" s="110" t="s">
        <v>1083</v>
      </c>
      <c r="B5" s="111">
        <f>'Design Data'!$H$10</f>
        <v>0</v>
      </c>
      <c r="C5" s="110" t="s">
        <v>1010</v>
      </c>
      <c r="D5" s="112">
        <f>'Design Data'!$K$10</f>
        <v>0</v>
      </c>
      <c r="E5" s="112"/>
      <c r="F5" s="110" t="s">
        <v>1232</v>
      </c>
      <c r="G5" s="1650">
        <f>'Chart Data'!$W$14</f>
      </c>
      <c r="H5" s="1650"/>
      <c r="I5" s="1650"/>
      <c r="J5" s="1650"/>
      <c r="K5" s="1650"/>
      <c r="L5" s="107"/>
      <c r="M5" s="107"/>
      <c r="N5" s="107"/>
      <c r="O5" s="107"/>
      <c r="P5" s="107"/>
      <c r="Q5" s="107"/>
      <c r="R5" s="107"/>
      <c r="S5" s="107"/>
      <c r="T5" s="107"/>
      <c r="U5" s="107"/>
      <c r="V5" s="107"/>
      <c r="W5" s="107"/>
      <c r="X5" s="107"/>
      <c r="Y5" s="107"/>
      <c r="Z5" s="107"/>
    </row>
    <row r="6" spans="1:26" ht="12.75">
      <c r="A6" s="110" t="s">
        <v>1233</v>
      </c>
      <c r="B6" s="112"/>
      <c r="C6" s="112" t="str">
        <f>'Design Data'!$C$14</f>
        <v>Enter Project(s) &amp; Line Item(s)</v>
      </c>
      <c r="D6" s="112"/>
      <c r="E6" s="112"/>
      <c r="F6" s="112"/>
      <c r="G6" s="112"/>
      <c r="H6" s="110" t="s">
        <v>1234</v>
      </c>
      <c r="I6" s="113"/>
      <c r="J6" s="247">
        <f>'Design Data'!$Q$88</f>
      </c>
      <c r="K6" s="114"/>
      <c r="L6" s="107"/>
      <c r="M6" s="107"/>
      <c r="N6" s="107"/>
      <c r="O6" s="107"/>
      <c r="P6" s="107"/>
      <c r="Q6" s="107"/>
      <c r="R6" s="107"/>
      <c r="S6" s="107"/>
      <c r="T6" s="107"/>
      <c r="U6" s="107"/>
      <c r="V6" s="107"/>
      <c r="W6" s="107"/>
      <c r="X6" s="107"/>
      <c r="Y6" s="107"/>
      <c r="Z6" s="107"/>
    </row>
    <row r="7" spans="1:26" ht="12.75">
      <c r="A7" s="115"/>
      <c r="B7" s="112"/>
      <c r="C7" s="112" t="str">
        <f>'Design Data'!$C$15</f>
        <v>On 'Project Items' Tab.</v>
      </c>
      <c r="D7" s="112"/>
      <c r="E7" s="112"/>
      <c r="F7" s="112"/>
      <c r="G7" s="112"/>
      <c r="H7" s="110" t="s">
        <v>1237</v>
      </c>
      <c r="I7" s="113"/>
      <c r="J7" s="116">
        <f>'Design Data'!$H$12</f>
        <v>0</v>
      </c>
      <c r="K7" s="114"/>
      <c r="L7" s="107"/>
      <c r="M7" s="107"/>
      <c r="N7" s="107"/>
      <c r="O7" s="107"/>
      <c r="P7" s="107"/>
      <c r="Q7" s="107"/>
      <c r="R7" s="107"/>
      <c r="S7" s="107"/>
      <c r="T7" s="107"/>
      <c r="U7" s="107"/>
      <c r="V7" s="107"/>
      <c r="W7" s="107"/>
      <c r="X7" s="107"/>
      <c r="Y7" s="107"/>
      <c r="Z7" s="107"/>
    </row>
    <row r="8" spans="1:26" ht="12.75">
      <c r="A8" s="110" t="s">
        <v>1238</v>
      </c>
      <c r="B8" s="112"/>
      <c r="C8" s="117">
        <f>'Design Data'!$I$15</f>
      </c>
      <c r="D8" s="112"/>
      <c r="E8" s="112"/>
      <c r="F8" s="112"/>
      <c r="G8" s="112"/>
      <c r="H8" s="110" t="s">
        <v>1239</v>
      </c>
      <c r="I8" s="112"/>
      <c r="J8" s="145">
        <f>IF('Design Data'!$H$86="",'Design Data'!$H$16,'Design Data'!$H$86)</f>
        <v>0</v>
      </c>
      <c r="K8" s="114"/>
      <c r="L8" s="107"/>
      <c r="M8" s="107"/>
      <c r="N8" s="107"/>
      <c r="O8" s="107"/>
      <c r="P8" s="107"/>
      <c r="Q8" s="107"/>
      <c r="R8" s="107"/>
      <c r="S8" s="107"/>
      <c r="T8" s="107"/>
      <c r="U8" s="107"/>
      <c r="V8" s="107"/>
      <c r="W8" s="107"/>
      <c r="X8" s="107"/>
      <c r="Y8" s="107"/>
      <c r="Z8" s="107"/>
    </row>
    <row r="9" spans="1:26" ht="12.75">
      <c r="A9" s="112"/>
      <c r="B9" s="112"/>
      <c r="C9" s="112"/>
      <c r="D9" s="112"/>
      <c r="E9" s="112"/>
      <c r="F9" s="112"/>
      <c r="G9" s="112"/>
      <c r="H9" s="110" t="s">
        <v>1026</v>
      </c>
      <c r="I9" s="112"/>
      <c r="J9" s="145">
        <f>'Design Data'!$H$16</f>
        <v>0</v>
      </c>
      <c r="K9" s="114"/>
      <c r="L9" s="107"/>
      <c r="M9" s="107"/>
      <c r="N9" s="107"/>
      <c r="O9" s="107"/>
      <c r="P9" s="107"/>
      <c r="Q9" s="107"/>
      <c r="R9" s="107"/>
      <c r="S9" s="107"/>
      <c r="T9" s="107"/>
      <c r="U9" s="107"/>
      <c r="V9" s="107"/>
      <c r="W9" s="107"/>
      <c r="X9" s="107"/>
      <c r="Y9" s="107"/>
      <c r="Z9" s="107"/>
    </row>
    <row r="10" spans="8:26" ht="12.75">
      <c r="H10" s="107"/>
      <c r="L10" s="107"/>
      <c r="M10" s="107"/>
      <c r="N10" s="107"/>
      <c r="O10" s="107"/>
      <c r="P10" s="107"/>
      <c r="Q10" s="107"/>
      <c r="R10" s="107"/>
      <c r="S10" s="107"/>
      <c r="T10" s="107"/>
      <c r="U10" s="107"/>
      <c r="V10" s="107"/>
      <c r="W10" s="107"/>
      <c r="X10" s="107"/>
      <c r="Y10" s="107"/>
      <c r="Z10" s="107"/>
    </row>
    <row r="11" spans="8:26" ht="12.75">
      <c r="H11" s="107"/>
      <c r="L11" s="107"/>
      <c r="M11" s="107"/>
      <c r="N11" s="107"/>
      <c r="O11" s="107"/>
      <c r="P11" s="107"/>
      <c r="Q11" s="107"/>
      <c r="R11" s="107"/>
      <c r="S11" s="107"/>
      <c r="T11" s="107"/>
      <c r="U11" s="107"/>
      <c r="V11" s="107"/>
      <c r="W11" s="107"/>
      <c r="X11" s="107"/>
      <c r="Y11" s="107"/>
      <c r="Z11" s="107"/>
    </row>
    <row r="12" spans="8:26" ht="12.75">
      <c r="H12" s="107"/>
      <c r="L12" s="107"/>
      <c r="M12" s="107"/>
      <c r="N12" s="107"/>
      <c r="O12" s="107"/>
      <c r="P12" s="107"/>
      <c r="Q12" s="107"/>
      <c r="R12" s="107"/>
      <c r="S12" s="107"/>
      <c r="T12" s="107"/>
      <c r="U12" s="107"/>
      <c r="V12" s="107"/>
      <c r="W12" s="107"/>
      <c r="X12" s="107"/>
      <c r="Y12" s="107"/>
      <c r="Z12" s="107"/>
    </row>
    <row r="13" spans="8:26" ht="12.75">
      <c r="H13" s="107"/>
      <c r="L13" s="107"/>
      <c r="M13" s="107"/>
      <c r="N13" s="107"/>
      <c r="O13" s="107"/>
      <c r="P13" s="107"/>
      <c r="Q13" s="107"/>
      <c r="R13" s="107"/>
      <c r="S13" s="107"/>
      <c r="T13" s="107"/>
      <c r="U13" s="107"/>
      <c r="V13" s="107"/>
      <c r="W13" s="107"/>
      <c r="X13" s="107"/>
      <c r="Y13" s="107"/>
      <c r="Z13" s="107"/>
    </row>
    <row r="14" spans="8:26" ht="12.75">
      <c r="H14" s="107"/>
      <c r="I14" s="118" t="s">
        <v>1240</v>
      </c>
      <c r="L14" s="107"/>
      <c r="M14" s="107"/>
      <c r="N14" s="107"/>
      <c r="O14" s="107"/>
      <c r="P14" s="107"/>
      <c r="Q14" s="107"/>
      <c r="R14" s="107"/>
      <c r="S14" s="107"/>
      <c r="T14" s="107"/>
      <c r="U14" s="107"/>
      <c r="V14" s="107"/>
      <c r="W14" s="107"/>
      <c r="X14" s="107"/>
      <c r="Y14" s="107"/>
      <c r="Z14" s="107"/>
    </row>
    <row r="15" spans="8:26" ht="12.75">
      <c r="H15" s="107"/>
      <c r="L15" s="107"/>
      <c r="M15" s="107"/>
      <c r="N15" s="107"/>
      <c r="O15" s="107"/>
      <c r="P15" s="107"/>
      <c r="Q15" s="107"/>
      <c r="R15" s="107"/>
      <c r="S15" s="107"/>
      <c r="T15" s="107"/>
      <c r="U15" s="107"/>
      <c r="V15" s="107"/>
      <c r="W15" s="107"/>
      <c r="X15" s="107"/>
      <c r="Y15" s="107"/>
      <c r="Z15" s="107"/>
    </row>
    <row r="16" spans="8:26" ht="12.75">
      <c r="H16" s="107"/>
      <c r="L16" s="107"/>
      <c r="M16" s="107"/>
      <c r="N16" s="107"/>
      <c r="O16" s="107"/>
      <c r="P16" s="107"/>
      <c r="Q16" s="107"/>
      <c r="R16" s="107"/>
      <c r="S16" s="107"/>
      <c r="T16" s="107"/>
      <c r="U16" s="107"/>
      <c r="V16" s="107"/>
      <c r="W16" s="107"/>
      <c r="X16" s="107"/>
      <c r="Y16" s="107"/>
      <c r="Z16" s="107"/>
    </row>
    <row r="17" spans="8:26" ht="12.75">
      <c r="H17" s="107"/>
      <c r="I17" s="119" t="s">
        <v>1241</v>
      </c>
      <c r="K17" s="162"/>
      <c r="L17" s="107"/>
      <c r="M17" s="107"/>
      <c r="N17" s="107"/>
      <c r="O17" s="107"/>
      <c r="P17" s="107"/>
      <c r="Q17" s="107"/>
      <c r="R17" s="107"/>
      <c r="S17" s="107"/>
      <c r="T17" s="107"/>
      <c r="U17" s="107"/>
      <c r="V17" s="107"/>
      <c r="W17" s="107"/>
      <c r="X17" s="107"/>
      <c r="Y17" s="107"/>
      <c r="Z17" s="107"/>
    </row>
    <row r="18" spans="8:26" ht="12.75">
      <c r="H18" s="107"/>
      <c r="I18" s="119"/>
      <c r="K18" s="120"/>
      <c r="L18" s="107"/>
      <c r="M18" s="107"/>
      <c r="N18" s="107"/>
      <c r="O18" s="107"/>
      <c r="P18" s="107"/>
      <c r="Q18" s="107"/>
      <c r="R18" s="107"/>
      <c r="S18" s="107"/>
      <c r="T18" s="107"/>
      <c r="U18" s="107"/>
      <c r="V18" s="107"/>
      <c r="W18" s="107"/>
      <c r="X18" s="107"/>
      <c r="Y18" s="107"/>
      <c r="Z18" s="107"/>
    </row>
    <row r="19" spans="8:26" ht="12.75">
      <c r="H19" s="107"/>
      <c r="I19"/>
      <c r="K19" s="120"/>
      <c r="L19" s="107"/>
      <c r="M19" s="107"/>
      <c r="N19" s="107"/>
      <c r="O19" s="107"/>
      <c r="P19" s="107"/>
      <c r="Q19" s="107"/>
      <c r="R19" s="107"/>
      <c r="S19" s="107"/>
      <c r="T19" s="107"/>
      <c r="U19" s="107"/>
      <c r="V19" s="107"/>
      <c r="W19" s="107"/>
      <c r="X19" s="107"/>
      <c r="Y19" s="107"/>
      <c r="Z19" s="107"/>
    </row>
    <row r="20" spans="8:20" ht="12.75">
      <c r="H20" s="107"/>
      <c r="I20" s="119" t="s">
        <v>1242</v>
      </c>
      <c r="K20" s="162"/>
      <c r="L20" s="107"/>
      <c r="M20" s="107"/>
      <c r="N20" s="107"/>
      <c r="O20" s="107"/>
      <c r="P20" s="107"/>
      <c r="Q20" s="107"/>
      <c r="R20" s="107"/>
      <c r="S20" s="107"/>
      <c r="T20" s="107"/>
    </row>
    <row r="21" spans="8:20" ht="12.75">
      <c r="H21" s="107"/>
      <c r="I21" s="119"/>
      <c r="K21" s="120"/>
      <c r="L21" s="107"/>
      <c r="M21" s="107"/>
      <c r="N21" s="107"/>
      <c r="O21" s="107"/>
      <c r="P21" s="107"/>
      <c r="Q21" s="107"/>
      <c r="R21" s="107"/>
      <c r="S21" s="107"/>
      <c r="T21" s="107"/>
    </row>
    <row r="22" spans="8:20" ht="12.75">
      <c r="H22" s="107"/>
      <c r="I22" s="119"/>
      <c r="K22" s="120"/>
      <c r="L22" s="107"/>
      <c r="M22" s="107"/>
      <c r="N22" s="107"/>
      <c r="O22" s="107"/>
      <c r="P22" s="107"/>
      <c r="Q22" s="107"/>
      <c r="R22" s="107"/>
      <c r="S22" s="107"/>
      <c r="T22" s="107"/>
    </row>
    <row r="23" spans="8:20" ht="12.75">
      <c r="H23" s="107"/>
      <c r="I23" s="119" t="s">
        <v>1243</v>
      </c>
      <c r="K23" s="162"/>
      <c r="L23" s="107"/>
      <c r="M23" s="107"/>
      <c r="N23" s="107"/>
      <c r="O23" s="107"/>
      <c r="P23" s="107"/>
      <c r="Q23" s="107"/>
      <c r="R23" s="107"/>
      <c r="S23" s="107"/>
      <c r="T23" s="107"/>
    </row>
    <row r="24" spans="8:20" ht="12.75">
      <c r="H24" s="107"/>
      <c r="I24" s="119"/>
      <c r="K24" s="120"/>
      <c r="L24" s="107"/>
      <c r="M24" s="107"/>
      <c r="N24" s="107"/>
      <c r="O24" s="107"/>
      <c r="P24" s="107"/>
      <c r="Q24" s="107"/>
      <c r="R24" s="107"/>
      <c r="S24" s="107"/>
      <c r="T24" s="107"/>
    </row>
    <row r="25" spans="8:20" ht="12.75">
      <c r="H25" s="107"/>
      <c r="I25" s="119"/>
      <c r="K25" s="120"/>
      <c r="L25" s="107"/>
      <c r="M25" s="107"/>
      <c r="N25" s="107"/>
      <c r="O25" s="107"/>
      <c r="P25" s="107"/>
      <c r="Q25" s="107"/>
      <c r="R25" s="107"/>
      <c r="S25" s="107"/>
      <c r="T25" s="107"/>
    </row>
    <row r="26" spans="8:20" ht="12.75">
      <c r="H26" s="107"/>
      <c r="I26" s="119" t="s">
        <v>1244</v>
      </c>
      <c r="K26" s="162"/>
      <c r="L26" s="107"/>
      <c r="M26" s="107"/>
      <c r="N26" s="107"/>
      <c r="O26" s="107"/>
      <c r="P26" s="107"/>
      <c r="Q26" s="107"/>
      <c r="R26" s="107"/>
      <c r="S26" s="107"/>
      <c r="T26" s="107"/>
    </row>
    <row r="27" spans="8:20" ht="12.75">
      <c r="H27" s="107"/>
      <c r="L27" s="107"/>
      <c r="M27" s="107"/>
      <c r="N27" s="107"/>
      <c r="O27" s="107"/>
      <c r="P27" s="107"/>
      <c r="Q27" s="107"/>
      <c r="R27" s="107"/>
      <c r="S27" s="107"/>
      <c r="T27" s="107"/>
    </row>
    <row r="28" spans="8:20" ht="12.75">
      <c r="H28" s="107"/>
      <c r="L28" s="107"/>
      <c r="M28" s="107"/>
      <c r="N28" s="107"/>
      <c r="O28" s="107"/>
      <c r="P28" s="107"/>
      <c r="Q28" s="107"/>
      <c r="R28" s="107"/>
      <c r="S28" s="107"/>
      <c r="T28" s="107"/>
    </row>
    <row r="29" spans="8:20" ht="12.75">
      <c r="H29"/>
      <c r="I29" s="773">
        <f>IF(AND(ISNUMBER('Design Data'!H20),'Chart Data'!J48=0.5,'Design Data'!O63&lt;5,'Chart Data'!H48&lt;&gt;20550),"WARNING: Cannot choose AC%",IF(AND(ISNUMBER('Design Data'!H20),'Chart Data'!J48=0.38,'Design Data'!O63&lt;5.3),"WARNING: Cannot choose AC%",""))</f>
      </c>
      <c r="J29" s="739"/>
      <c r="K29" s="739"/>
      <c r="L29" s="107"/>
      <c r="M29" s="772"/>
      <c r="N29" s="107"/>
      <c r="O29" s="107"/>
      <c r="P29" s="107"/>
      <c r="Q29" s="107"/>
      <c r="R29" s="107"/>
      <c r="S29" s="107"/>
      <c r="T29" s="107"/>
    </row>
    <row r="30" spans="8:20" ht="12.75">
      <c r="H30" s="107"/>
      <c r="I30" s="773">
        <f>IF(AND(ISNUMBER('Design Data'!H20),'Chart Data'!J48=0.5,'Design Data'!O63&lt;5,'Chart Data'!H48&lt;&gt;20550),"below 5.0% according to",IF(AND(ISNUMBER('Design Data'!H20),'Chart Data'!J48=0.38,'Design Data'!O63&lt;5.3),"below 5.3% according to",""))</f>
      </c>
      <c r="J30" s="739"/>
      <c r="K30" s="739"/>
      <c r="L30" s="107"/>
      <c r="M30" s="107"/>
      <c r="N30" s="107"/>
      <c r="O30" s="107"/>
      <c r="P30" s="107"/>
      <c r="Q30" s="107"/>
      <c r="R30" s="107"/>
      <c r="S30" s="107"/>
      <c r="T30" s="107"/>
    </row>
    <row r="31" spans="8:20" ht="12.75">
      <c r="H31" s="107"/>
      <c r="I31" s="773">
        <f>IF(AND(ISNUMBER('Design Data'!H20),'Chart Data'!J48=0.5,'Design Data'!O63&lt;5,'Chart Data'!H48&lt;&gt;20550),"current specification.",IF(AND(ISNUMBER('Design Data'!H20),'Chart Data'!J48=0.38,'Design Data'!O63&lt;5.3),"current specification.",""))</f>
      </c>
      <c r="J31" s="739"/>
      <c r="K31" s="739"/>
      <c r="L31" s="107"/>
      <c r="M31" s="107"/>
      <c r="N31" s="107"/>
      <c r="O31" s="107"/>
      <c r="P31" s="107"/>
      <c r="Q31" s="107"/>
      <c r="R31" s="107"/>
      <c r="S31" s="107"/>
      <c r="T31" s="107"/>
    </row>
    <row r="32" spans="8:20" ht="12.75">
      <c r="H32" s="107"/>
      <c r="L32" s="107"/>
      <c r="M32" s="107"/>
      <c r="N32" s="107"/>
      <c r="O32" s="107"/>
      <c r="P32" s="107"/>
      <c r="Q32" s="107"/>
      <c r="R32" s="107"/>
      <c r="S32" s="107"/>
      <c r="T32" s="107"/>
    </row>
    <row r="33" spans="8:20" ht="12.75">
      <c r="H33" s="107"/>
      <c r="L33" s="107"/>
      <c r="M33" s="107"/>
      <c r="N33" s="107"/>
      <c r="O33" s="107"/>
      <c r="P33" s="107"/>
      <c r="Q33" s="107"/>
      <c r="R33" s="107"/>
      <c r="S33" s="107"/>
      <c r="T33" s="107"/>
    </row>
    <row r="34" spans="8:20" ht="12.75">
      <c r="H34" s="107"/>
      <c r="L34" s="107"/>
      <c r="M34" s="107"/>
      <c r="N34" s="107"/>
      <c r="O34" s="107"/>
      <c r="P34" s="107"/>
      <c r="Q34" s="107"/>
      <c r="R34" s="107"/>
      <c r="S34" s="107"/>
      <c r="T34" s="107"/>
    </row>
    <row r="35" spans="8:20" ht="12.75">
      <c r="H35" s="107"/>
      <c r="L35" s="107"/>
      <c r="M35" s="107"/>
      <c r="N35" s="107"/>
      <c r="O35" s="107"/>
      <c r="P35" s="107"/>
      <c r="Q35" s="107"/>
      <c r="R35" s="107"/>
      <c r="S35" s="107"/>
      <c r="T35" s="107"/>
    </row>
    <row r="36" spans="8:20" ht="12.75">
      <c r="H36" s="107"/>
      <c r="L36" s="107"/>
      <c r="M36" s="107"/>
      <c r="N36" s="107"/>
      <c r="O36" s="107"/>
      <c r="P36" s="107"/>
      <c r="Q36" s="107"/>
      <c r="R36" s="107"/>
      <c r="S36" s="107"/>
      <c r="T36" s="107"/>
    </row>
    <row r="37" spans="8:20" ht="12.75">
      <c r="H37" s="107"/>
      <c r="I37" s="118" t="s">
        <v>1245</v>
      </c>
      <c r="L37" s="107"/>
      <c r="M37" s="107"/>
      <c r="N37" s="107"/>
      <c r="O37" s="107"/>
      <c r="P37" s="107"/>
      <c r="Q37" s="107"/>
      <c r="R37" s="107"/>
      <c r="S37" s="107"/>
      <c r="T37" s="107"/>
    </row>
    <row r="38" spans="8:20" ht="12.75">
      <c r="H38" s="107"/>
      <c r="L38" s="107"/>
      <c r="M38" s="107"/>
      <c r="N38" s="107"/>
      <c r="O38" s="107"/>
      <c r="P38" s="107"/>
      <c r="Q38" s="107"/>
      <c r="R38" s="107"/>
      <c r="S38" s="107"/>
      <c r="T38" s="107"/>
    </row>
    <row r="39" spans="8:20" ht="12.75">
      <c r="H39" s="107"/>
      <c r="I39" s="207" t="s">
        <v>905</v>
      </c>
      <c r="J39" s="164"/>
      <c r="K39" s="164"/>
      <c r="L39" s="107"/>
      <c r="M39" s="107"/>
      <c r="N39" s="107"/>
      <c r="O39" s="107"/>
      <c r="P39" s="107"/>
      <c r="Q39" s="107"/>
      <c r="R39" s="107"/>
      <c r="S39" s="107"/>
      <c r="T39" s="107"/>
    </row>
    <row r="40" spans="8:20" ht="12.75">
      <c r="H40" s="107"/>
      <c r="I40" s="207" t="s">
        <v>905</v>
      </c>
      <c r="J40" s="164"/>
      <c r="K40" s="164"/>
      <c r="L40" s="107"/>
      <c r="M40" s="107"/>
      <c r="N40" s="107"/>
      <c r="O40" s="107"/>
      <c r="P40" s="107"/>
      <c r="Q40" s="107"/>
      <c r="R40" s="107"/>
      <c r="S40" s="107"/>
      <c r="T40" s="107"/>
    </row>
    <row r="41" spans="8:20" ht="12.75">
      <c r="H41" s="107"/>
      <c r="I41" s="207" t="s">
        <v>905</v>
      </c>
      <c r="J41" s="164"/>
      <c r="K41" s="164"/>
      <c r="L41" s="107"/>
      <c r="M41" s="107"/>
      <c r="N41" s="107"/>
      <c r="O41" s="107"/>
      <c r="P41" s="107"/>
      <c r="Q41" s="107"/>
      <c r="R41" s="107"/>
      <c r="S41" s="107"/>
      <c r="T41" s="107"/>
    </row>
    <row r="42" spans="8:20" ht="12.75">
      <c r="H42" s="107"/>
      <c r="I42" s="207" t="s">
        <v>905</v>
      </c>
      <c r="J42" s="164"/>
      <c r="K42" s="164"/>
      <c r="L42" s="107"/>
      <c r="M42" s="107"/>
      <c r="N42" s="107"/>
      <c r="O42" s="107"/>
      <c r="P42" s="107"/>
      <c r="Q42" s="107"/>
      <c r="R42" s="107"/>
      <c r="S42" s="107"/>
      <c r="T42" s="107"/>
    </row>
    <row r="43" spans="8:20" ht="12.75">
      <c r="H43" s="107"/>
      <c r="I43" s="207" t="s">
        <v>905</v>
      </c>
      <c r="J43" s="164"/>
      <c r="K43" s="164"/>
      <c r="L43" s="107"/>
      <c r="M43" s="107"/>
      <c r="N43" s="107"/>
      <c r="O43" s="107"/>
      <c r="P43" s="107"/>
      <c r="Q43" s="107"/>
      <c r="R43" s="107"/>
      <c r="S43" s="107"/>
      <c r="T43" s="107"/>
    </row>
    <row r="44" spans="8:20" ht="12.75">
      <c r="H44" s="107"/>
      <c r="I44" s="207" t="s">
        <v>905</v>
      </c>
      <c r="J44" s="164"/>
      <c r="K44" s="164"/>
      <c r="L44" s="107"/>
      <c r="M44" s="107"/>
      <c r="N44" s="107"/>
      <c r="O44" s="107"/>
      <c r="P44" s="107"/>
      <c r="Q44" s="107"/>
      <c r="R44" s="107"/>
      <c r="S44" s="107"/>
      <c r="T44" s="107"/>
    </row>
    <row r="45" spans="8:20" ht="12.75">
      <c r="H45" s="107"/>
      <c r="I45" s="207"/>
      <c r="J45" s="164"/>
      <c r="K45" s="164"/>
      <c r="L45" s="107"/>
      <c r="M45" s="107"/>
      <c r="N45" s="107"/>
      <c r="O45" s="107"/>
      <c r="P45" s="107"/>
      <c r="Q45" s="107"/>
      <c r="R45" s="107"/>
      <c r="S45" s="107"/>
      <c r="T45" s="107"/>
    </row>
    <row r="46" spans="8:20" ht="12.75">
      <c r="H46" s="107"/>
      <c r="I46" s="207"/>
      <c r="J46" s="164"/>
      <c r="K46" s="164"/>
      <c r="L46" s="107"/>
      <c r="M46" s="107"/>
      <c r="N46" s="107"/>
      <c r="O46" s="107"/>
      <c r="P46" s="107"/>
      <c r="Q46" s="107"/>
      <c r="R46" s="107"/>
      <c r="S46" s="107"/>
      <c r="T46" s="107"/>
    </row>
    <row r="47" spans="8:20" ht="12.75">
      <c r="H47" s="107"/>
      <c r="I47" s="207"/>
      <c r="J47" s="164"/>
      <c r="K47" s="164"/>
      <c r="L47" s="107"/>
      <c r="M47" s="107"/>
      <c r="N47" s="107"/>
      <c r="O47" s="107"/>
      <c r="P47" s="107"/>
      <c r="Q47" s="107"/>
      <c r="R47" s="107"/>
      <c r="S47" s="107"/>
      <c r="T47" s="107"/>
    </row>
    <row r="48" spans="8:20" ht="12.75">
      <c r="H48" s="107"/>
      <c r="I48" s="207"/>
      <c r="J48" s="164"/>
      <c r="K48" s="164"/>
      <c r="L48" s="107"/>
      <c r="M48" s="107"/>
      <c r="N48" s="107"/>
      <c r="O48" s="107"/>
      <c r="P48" s="107"/>
      <c r="Q48" s="107"/>
      <c r="R48" s="107"/>
      <c r="S48" s="107"/>
      <c r="T48" s="107"/>
    </row>
    <row r="49" spans="8:20" ht="12.75">
      <c r="H49" s="107"/>
      <c r="L49" s="107"/>
      <c r="M49" s="107"/>
      <c r="N49" s="107"/>
      <c r="O49" s="107"/>
      <c r="P49" s="107"/>
      <c r="Q49" s="107"/>
      <c r="R49" s="107"/>
      <c r="S49" s="107"/>
      <c r="T49" s="107"/>
    </row>
    <row r="50" spans="8:20" ht="12.75">
      <c r="H50" s="107"/>
      <c r="L50" s="107"/>
      <c r="M50" s="107"/>
      <c r="N50" s="107"/>
      <c r="O50" s="107"/>
      <c r="P50" s="107"/>
      <c r="Q50" s="107"/>
      <c r="R50" s="107"/>
      <c r="S50" s="107"/>
      <c r="T50" s="107"/>
    </row>
    <row r="51" spans="8:20" ht="12.75">
      <c r="H51" s="107"/>
      <c r="L51" s="107"/>
      <c r="M51" s="107"/>
      <c r="N51" s="107"/>
      <c r="O51" s="107"/>
      <c r="P51" s="107"/>
      <c r="Q51" s="107"/>
      <c r="R51" s="107"/>
      <c r="S51" s="107"/>
      <c r="T51" s="107"/>
    </row>
    <row r="52" spans="8:20" ht="12.75">
      <c r="H52" s="107"/>
      <c r="L52" s="107"/>
      <c r="M52" s="107"/>
      <c r="N52" s="107"/>
      <c r="O52" s="107"/>
      <c r="P52" s="107"/>
      <c r="Q52" s="107"/>
      <c r="R52" s="107"/>
      <c r="S52" s="107"/>
      <c r="T52" s="107"/>
    </row>
    <row r="53" spans="8:20" ht="12.75">
      <c r="H53" s="107"/>
      <c r="L53" s="107"/>
      <c r="M53" s="107"/>
      <c r="N53" s="107"/>
      <c r="O53" s="107"/>
      <c r="P53" s="107"/>
      <c r="Q53" s="107"/>
      <c r="R53" s="107"/>
      <c r="S53" s="107"/>
      <c r="T53" s="107"/>
    </row>
    <row r="54" spans="8:20" ht="12.75">
      <c r="H54" s="107"/>
      <c r="I54" s="121" t="s">
        <v>1246</v>
      </c>
      <c r="L54" s="107"/>
      <c r="M54" s="107"/>
      <c r="N54" s="107"/>
      <c r="O54" s="107"/>
      <c r="P54" s="107"/>
      <c r="Q54" s="107"/>
      <c r="R54" s="107"/>
      <c r="S54" s="107"/>
      <c r="T54" s="107"/>
    </row>
    <row r="55" spans="8:20" ht="12.75">
      <c r="H55" s="107"/>
      <c r="L55" s="107"/>
      <c r="M55" s="107"/>
      <c r="N55" s="107"/>
      <c r="O55" s="107"/>
      <c r="P55" s="107"/>
      <c r="Q55" s="107"/>
      <c r="R55" s="107"/>
      <c r="S55" s="107"/>
      <c r="T55" s="107"/>
    </row>
    <row r="56" spans="8:20" ht="12.75">
      <c r="H56" s="107"/>
      <c r="I56" s="163"/>
      <c r="J56" s="164"/>
      <c r="L56" s="107"/>
      <c r="M56" s="107"/>
      <c r="N56" s="107"/>
      <c r="O56" s="107"/>
      <c r="P56" s="107"/>
      <c r="Q56" s="107"/>
      <c r="R56" s="107"/>
      <c r="S56" s="107"/>
      <c r="T56" s="107"/>
    </row>
    <row r="57" spans="8:20" ht="12.75">
      <c r="H57" s="107"/>
      <c r="L57" s="107"/>
      <c r="M57" s="107"/>
      <c r="N57" s="107"/>
      <c r="O57" s="107"/>
      <c r="P57" s="107"/>
      <c r="Q57" s="107"/>
      <c r="R57" s="107"/>
      <c r="S57" s="107"/>
      <c r="T57" s="107"/>
    </row>
    <row r="58" spans="5:20" ht="12.75">
      <c r="E58" s="108"/>
      <c r="F58" s="108" t="str">
        <f>F1</f>
        <v>KENTUCKY DEPARTMENT OF HIGHWAYS</v>
      </c>
      <c r="H58" s="107"/>
      <c r="K58" s="109" t="str">
        <f>K1</f>
        <v>May 2012</v>
      </c>
      <c r="L58" s="107"/>
      <c r="M58" s="107"/>
      <c r="N58" s="107"/>
      <c r="O58" s="107"/>
      <c r="P58" s="107"/>
      <c r="Q58" s="107"/>
      <c r="R58" s="107"/>
      <c r="S58" s="107"/>
      <c r="T58" s="107"/>
    </row>
    <row r="59" spans="5:20" ht="12.75">
      <c r="E59" s="108"/>
      <c r="F59" s="108" t="str">
        <f>F2</f>
        <v>DIVISION OF MATERIALS</v>
      </c>
      <c r="H59" s="107"/>
      <c r="L59" s="107"/>
      <c r="M59" s="107"/>
      <c r="N59" s="107"/>
      <c r="O59" s="107"/>
      <c r="P59" s="107"/>
      <c r="Q59" s="107"/>
      <c r="R59" s="107"/>
      <c r="S59" s="107"/>
      <c r="T59" s="107"/>
    </row>
    <row r="60" spans="5:20" ht="12.75">
      <c r="E60" s="108"/>
      <c r="F60" s="108" t="str">
        <f>F3</f>
        <v>Laboratory Mix Design</v>
      </c>
      <c r="H60" s="107"/>
      <c r="L60" s="107"/>
      <c r="M60" s="107"/>
      <c r="N60" s="107"/>
      <c r="O60" s="107"/>
      <c r="P60" s="107"/>
      <c r="Q60" s="107"/>
      <c r="R60" s="107"/>
      <c r="S60" s="107"/>
      <c r="T60" s="107"/>
    </row>
    <row r="61" spans="8:20" ht="12.75">
      <c r="H61" s="107"/>
      <c r="L61" s="107"/>
      <c r="M61" s="107"/>
      <c r="N61" s="107"/>
      <c r="O61" s="107"/>
      <c r="P61" s="107"/>
      <c r="Q61" s="107"/>
      <c r="R61" s="107"/>
      <c r="S61" s="107"/>
      <c r="T61" s="107"/>
    </row>
    <row r="62" spans="1:20" ht="12.75">
      <c r="A62" s="110" t="s">
        <v>1083</v>
      </c>
      <c r="B62" s="111">
        <f>B5</f>
        <v>0</v>
      </c>
      <c r="C62" s="110" t="s">
        <v>1010</v>
      </c>
      <c r="D62" s="112">
        <f>D5</f>
        <v>0</v>
      </c>
      <c r="E62" s="112"/>
      <c r="F62" s="110" t="s">
        <v>1232</v>
      </c>
      <c r="G62" s="1650">
        <f>G5</f>
      </c>
      <c r="H62" s="1650"/>
      <c r="I62" s="1650"/>
      <c r="J62" s="1650"/>
      <c r="K62" s="1650"/>
      <c r="L62" s="107"/>
      <c r="M62" s="107"/>
      <c r="N62" s="107"/>
      <c r="O62" s="107"/>
      <c r="P62" s="107"/>
      <c r="Q62" s="107"/>
      <c r="R62" s="107"/>
      <c r="S62" s="107"/>
      <c r="T62" s="107"/>
    </row>
    <row r="63" spans="1:20" ht="13.5">
      <c r="A63" s="110" t="s">
        <v>1233</v>
      </c>
      <c r="B63" s="112"/>
      <c r="C63" s="112" t="str">
        <f>C6</f>
        <v>Enter Project(s) &amp; Line Item(s)</v>
      </c>
      <c r="D63" s="112"/>
      <c r="E63" s="112"/>
      <c r="F63" s="112"/>
      <c r="G63" s="112"/>
      <c r="H63" s="110" t="s">
        <v>1234</v>
      </c>
      <c r="I63" s="113"/>
      <c r="J63" s="247">
        <f>J6</f>
      </c>
      <c r="K63" s="114"/>
      <c r="L63" s="107"/>
      <c r="M63" s="107"/>
      <c r="N63" s="107"/>
      <c r="O63" s="107"/>
      <c r="P63" s="107"/>
      <c r="Q63" s="107"/>
      <c r="R63" s="107"/>
      <c r="S63" s="107"/>
      <c r="T63" s="107"/>
    </row>
    <row r="64" spans="1:20" ht="12.75">
      <c r="A64" s="115"/>
      <c r="B64" s="112"/>
      <c r="C64" s="112" t="str">
        <f>C7</f>
        <v>On 'Project Items' Tab.</v>
      </c>
      <c r="D64" s="112"/>
      <c r="E64" s="112"/>
      <c r="F64" s="112"/>
      <c r="G64" s="112"/>
      <c r="H64" s="110" t="s">
        <v>1091</v>
      </c>
      <c r="I64" s="113"/>
      <c r="J64" s="116">
        <f>J7</f>
        <v>0</v>
      </c>
      <c r="K64" s="114"/>
      <c r="L64" s="107"/>
      <c r="M64" s="107"/>
      <c r="N64" s="107"/>
      <c r="O64" s="107"/>
      <c r="P64" s="107"/>
      <c r="Q64" s="107"/>
      <c r="R64" s="107"/>
      <c r="S64" s="107"/>
      <c r="T64" s="107"/>
    </row>
    <row r="65" spans="1:20" ht="12.75">
      <c r="A65" s="110" t="s">
        <v>1238</v>
      </c>
      <c r="B65" s="112"/>
      <c r="C65" s="117">
        <f>C8</f>
      </c>
      <c r="D65" s="112"/>
      <c r="E65" s="112"/>
      <c r="F65" s="112"/>
      <c r="G65" s="112"/>
      <c r="H65" s="110" t="s">
        <v>1239</v>
      </c>
      <c r="I65" s="112"/>
      <c r="J65" s="145">
        <f>J8</f>
        <v>0</v>
      </c>
      <c r="K65" s="114"/>
      <c r="L65" s="107"/>
      <c r="M65" s="107"/>
      <c r="N65" s="107"/>
      <c r="O65" s="107"/>
      <c r="P65" s="107"/>
      <c r="Q65" s="107"/>
      <c r="R65" s="107"/>
      <c r="S65" s="107"/>
      <c r="T65" s="107"/>
    </row>
    <row r="66" spans="1:20" ht="12.75">
      <c r="A66" s="112"/>
      <c r="B66" s="112"/>
      <c r="C66" s="112"/>
      <c r="D66" s="112"/>
      <c r="E66" s="112"/>
      <c r="F66" s="112"/>
      <c r="G66" s="112"/>
      <c r="H66" s="110" t="s">
        <v>1026</v>
      </c>
      <c r="I66" s="112"/>
      <c r="J66" s="145">
        <f>J9</f>
        <v>0</v>
      </c>
      <c r="K66" s="114"/>
      <c r="L66" s="107"/>
      <c r="M66" s="107"/>
      <c r="N66" s="107"/>
      <c r="O66" s="107"/>
      <c r="P66" s="107"/>
      <c r="Q66" s="107"/>
      <c r="R66" s="107"/>
      <c r="S66" s="107"/>
      <c r="T66" s="107"/>
    </row>
    <row r="67" spans="8:20" ht="12.75">
      <c r="H67" s="107"/>
      <c r="L67" s="107"/>
      <c r="M67" s="107"/>
      <c r="N67" s="107"/>
      <c r="O67" s="107"/>
      <c r="P67" s="107"/>
      <c r="Q67" s="107"/>
      <c r="R67" s="107"/>
      <c r="S67" s="107"/>
      <c r="T67" s="107"/>
    </row>
    <row r="68" spans="8:20" ht="12.75">
      <c r="H68" s="107"/>
      <c r="L68" s="107"/>
      <c r="M68" s="107"/>
      <c r="N68" s="107"/>
      <c r="O68" s="107"/>
      <c r="P68" s="107"/>
      <c r="Q68" s="107"/>
      <c r="R68" s="107"/>
      <c r="S68" s="107"/>
      <c r="T68" s="107"/>
    </row>
    <row r="69" spans="8:20" ht="12.75">
      <c r="H69" s="107"/>
      <c r="L69" s="107"/>
      <c r="M69" s="107"/>
      <c r="N69" s="107"/>
      <c r="O69" s="107"/>
      <c r="P69" s="107"/>
      <c r="Q69" s="107"/>
      <c r="R69" s="107"/>
      <c r="S69" s="107"/>
      <c r="T69" s="107"/>
    </row>
    <row r="70" spans="8:20" ht="12.75">
      <c r="H70" s="107"/>
      <c r="L70" s="107"/>
      <c r="M70" s="107"/>
      <c r="N70" s="107"/>
      <c r="O70" s="107"/>
      <c r="P70" s="107"/>
      <c r="Q70" s="107"/>
      <c r="R70" s="107"/>
      <c r="S70" s="107"/>
      <c r="T70" s="107"/>
    </row>
    <row r="71" spans="8:20" ht="12.75">
      <c r="H71" s="107"/>
      <c r="I71" s="118" t="s">
        <v>1240</v>
      </c>
      <c r="L71" s="107"/>
      <c r="M71" s="107"/>
      <c r="N71" s="107"/>
      <c r="O71" s="107"/>
      <c r="P71" s="107"/>
      <c r="Q71" s="107"/>
      <c r="R71" s="107"/>
      <c r="S71" s="107"/>
      <c r="T71" s="107"/>
    </row>
    <row r="72" spans="8:20" ht="12.75">
      <c r="H72" s="107"/>
      <c r="L72" s="107"/>
      <c r="M72" s="107"/>
      <c r="N72" s="107"/>
      <c r="O72" s="107"/>
      <c r="P72" s="107"/>
      <c r="Q72" s="107"/>
      <c r="R72" s="107"/>
      <c r="S72" s="107"/>
      <c r="T72" s="107"/>
    </row>
    <row r="73" spans="8:20" ht="12.75">
      <c r="H73" s="107"/>
      <c r="L73" s="107"/>
      <c r="M73" s="107"/>
      <c r="N73" s="107"/>
      <c r="O73" s="107"/>
      <c r="P73" s="107"/>
      <c r="Q73" s="107"/>
      <c r="R73" s="107"/>
      <c r="S73" s="107"/>
      <c r="T73" s="107"/>
    </row>
    <row r="74" spans="8:20" ht="12.75">
      <c r="H74" s="107"/>
      <c r="I74" s="119" t="s">
        <v>1241</v>
      </c>
      <c r="K74" s="123">
        <f>K17</f>
        <v>0</v>
      </c>
      <c r="L74" s="107"/>
      <c r="M74" s="107"/>
      <c r="N74" s="107"/>
      <c r="O74" s="107"/>
      <c r="P74" s="107"/>
      <c r="Q74" s="107"/>
      <c r="R74" s="107"/>
      <c r="S74" s="107"/>
      <c r="T74" s="107"/>
    </row>
    <row r="75" spans="8:20" ht="12.75">
      <c r="H75" s="107"/>
      <c r="I75" s="119"/>
      <c r="K75" s="120"/>
      <c r="L75" s="107"/>
      <c r="M75" s="107"/>
      <c r="N75" s="107"/>
      <c r="O75" s="107"/>
      <c r="P75" s="107"/>
      <c r="Q75" s="107"/>
      <c r="R75" s="107"/>
      <c r="S75" s="107"/>
      <c r="T75" s="107"/>
    </row>
    <row r="76" spans="8:20" ht="12.75">
      <c r="H76" s="107"/>
      <c r="I76" s="119"/>
      <c r="K76" s="120"/>
      <c r="L76" s="107"/>
      <c r="M76" s="107"/>
      <c r="N76" s="107"/>
      <c r="O76" s="107"/>
      <c r="P76" s="107"/>
      <c r="Q76" s="107"/>
      <c r="R76" s="107"/>
      <c r="S76" s="107"/>
      <c r="T76" s="107"/>
    </row>
    <row r="77" spans="8:20" ht="12.75">
      <c r="H77" s="107"/>
      <c r="I77" s="119" t="s">
        <v>1247</v>
      </c>
      <c r="K77" s="162"/>
      <c r="L77" s="107"/>
      <c r="M77" s="107"/>
      <c r="N77" s="107"/>
      <c r="O77" s="107"/>
      <c r="P77" s="107"/>
      <c r="Q77" s="107"/>
      <c r="R77" s="107"/>
      <c r="S77" s="107"/>
      <c r="T77" s="107"/>
    </row>
    <row r="78" spans="8:20" ht="12.75">
      <c r="H78" s="107"/>
      <c r="I78" s="119"/>
      <c r="K78" s="120"/>
      <c r="L78" s="107"/>
      <c r="M78" s="107"/>
      <c r="N78" s="107"/>
      <c r="O78" s="107"/>
      <c r="P78" s="107"/>
      <c r="Q78" s="107"/>
      <c r="R78" s="107"/>
      <c r="S78" s="107"/>
      <c r="T78" s="107"/>
    </row>
    <row r="79" spans="8:20" ht="12.75">
      <c r="H79" s="107"/>
      <c r="I79" s="119"/>
      <c r="K79" s="120"/>
      <c r="L79" s="107"/>
      <c r="M79" s="107"/>
      <c r="N79" s="107"/>
      <c r="O79" s="107"/>
      <c r="P79" s="107"/>
      <c r="Q79" s="107"/>
      <c r="R79" s="107"/>
      <c r="S79" s="107"/>
      <c r="T79" s="107"/>
    </row>
    <row r="80" spans="8:20" ht="12.75">
      <c r="H80" s="107"/>
      <c r="I80" s="119" t="s">
        <v>1248</v>
      </c>
      <c r="K80" s="162"/>
      <c r="L80" s="107"/>
      <c r="M80" s="107"/>
      <c r="N80" s="107"/>
      <c r="O80" s="107"/>
      <c r="P80" s="107"/>
      <c r="Q80" s="107"/>
      <c r="R80" s="107"/>
      <c r="S80" s="107"/>
      <c r="T80" s="107"/>
    </row>
    <row r="81" spans="8:20" ht="12.75">
      <c r="H81" s="107"/>
      <c r="I81" s="119"/>
      <c r="K81" s="120"/>
      <c r="L81" s="107"/>
      <c r="M81" s="107"/>
      <c r="N81" s="107"/>
      <c r="O81" s="107"/>
      <c r="P81" s="107"/>
      <c r="Q81" s="107"/>
      <c r="R81" s="107"/>
      <c r="S81" s="107"/>
      <c r="T81" s="107"/>
    </row>
    <row r="82" spans="8:20" ht="12.75">
      <c r="H82" s="107"/>
      <c r="I82" s="119"/>
      <c r="K82" s="120"/>
      <c r="L82" s="107"/>
      <c r="M82" s="107"/>
      <c r="N82" s="107"/>
      <c r="O82" s="107"/>
      <c r="P82" s="107"/>
      <c r="Q82" s="107"/>
      <c r="R82" s="107"/>
      <c r="S82" s="107"/>
      <c r="T82" s="107"/>
    </row>
    <row r="83" spans="8:20" ht="13.5">
      <c r="H83" s="107"/>
      <c r="I83" s="119" t="s">
        <v>1249</v>
      </c>
      <c r="K83" s="165"/>
      <c r="L83" s="107"/>
      <c r="M83" s="107"/>
      <c r="N83" s="107"/>
      <c r="O83" s="107"/>
      <c r="P83" s="107"/>
      <c r="Q83" s="107"/>
      <c r="R83" s="107"/>
      <c r="S83" s="107"/>
      <c r="T83" s="107"/>
    </row>
    <row r="84" spans="8:20" ht="12.75">
      <c r="H84" s="107"/>
      <c r="L84" s="107"/>
      <c r="M84" s="107"/>
      <c r="N84" s="107"/>
      <c r="O84" s="107"/>
      <c r="P84" s="107"/>
      <c r="Q84" s="107"/>
      <c r="R84" s="107"/>
      <c r="S84" s="107"/>
      <c r="T84" s="107"/>
    </row>
    <row r="85" spans="8:20" ht="12.75">
      <c r="H85" s="107"/>
      <c r="L85" s="107"/>
      <c r="M85" s="107"/>
      <c r="N85" s="107"/>
      <c r="O85" s="107"/>
      <c r="P85" s="107"/>
      <c r="Q85" s="107"/>
      <c r="R85" s="107"/>
      <c r="S85" s="107"/>
      <c r="T85" s="107"/>
    </row>
    <row r="86" spans="8:20" ht="12.75">
      <c r="H86" s="774"/>
      <c r="I86" s="775">
        <f>I29</f>
      </c>
      <c r="J86" s="739"/>
      <c r="K86" s="739"/>
      <c r="L86" s="107"/>
      <c r="M86" s="107"/>
      <c r="N86" s="107"/>
      <c r="O86" s="107"/>
      <c r="P86" s="107"/>
      <c r="Q86" s="107"/>
      <c r="R86" s="107"/>
      <c r="S86" s="107"/>
      <c r="T86" s="107"/>
    </row>
    <row r="87" spans="8:20" ht="12.75">
      <c r="H87" s="774"/>
      <c r="I87" s="775">
        <f>I30</f>
      </c>
      <c r="J87" s="739"/>
      <c r="K87" s="739"/>
      <c r="L87" s="107"/>
      <c r="M87" s="107"/>
      <c r="N87" s="107"/>
      <c r="O87" s="107"/>
      <c r="P87" s="107"/>
      <c r="Q87" s="107"/>
      <c r="R87" s="107"/>
      <c r="S87" s="107"/>
      <c r="T87" s="107"/>
    </row>
    <row r="88" spans="8:20" ht="12.75">
      <c r="H88" s="774"/>
      <c r="I88" s="775">
        <f>I31</f>
      </c>
      <c r="J88" s="739"/>
      <c r="K88" s="739"/>
      <c r="L88" s="107"/>
      <c r="M88" s="107"/>
      <c r="N88" s="107"/>
      <c r="O88" s="107"/>
      <c r="P88" s="107"/>
      <c r="Q88" s="107"/>
      <c r="R88" s="107"/>
      <c r="S88" s="107"/>
      <c r="T88" s="107"/>
    </row>
    <row r="89" spans="8:20" ht="12.75">
      <c r="H89" s="107"/>
      <c r="L89" s="107"/>
      <c r="M89" s="107"/>
      <c r="N89" s="107"/>
      <c r="O89" s="107"/>
      <c r="P89" s="107"/>
      <c r="Q89" s="107"/>
      <c r="R89" s="107"/>
      <c r="S89" s="107"/>
      <c r="T89" s="107"/>
    </row>
    <row r="90" spans="8:20" ht="12.75">
      <c r="H90" s="107"/>
      <c r="L90" s="107"/>
      <c r="M90" s="107"/>
      <c r="N90" s="107"/>
      <c r="O90" s="107"/>
      <c r="P90" s="107"/>
      <c r="Q90" s="107"/>
      <c r="R90" s="107"/>
      <c r="S90" s="107"/>
      <c r="T90" s="107"/>
    </row>
    <row r="91" spans="8:20" ht="12.75">
      <c r="H91" s="107"/>
      <c r="L91" s="107"/>
      <c r="M91" s="107"/>
      <c r="N91" s="107"/>
      <c r="O91" s="107"/>
      <c r="P91" s="107"/>
      <c r="Q91" s="107"/>
      <c r="R91" s="107"/>
      <c r="S91" s="107"/>
      <c r="T91" s="107"/>
    </row>
    <row r="92" spans="8:20" ht="12.75">
      <c r="H92" s="107"/>
      <c r="L92" s="107"/>
      <c r="M92" s="107"/>
      <c r="N92" s="107"/>
      <c r="O92" s="107"/>
      <c r="P92" s="107"/>
      <c r="Q92" s="107"/>
      <c r="R92" s="107"/>
      <c r="S92" s="107"/>
      <c r="T92" s="107"/>
    </row>
    <row r="93" spans="8:20" ht="12.75">
      <c r="H93" s="107"/>
      <c r="L93" s="107"/>
      <c r="M93" s="107"/>
      <c r="N93" s="107"/>
      <c r="O93" s="107"/>
      <c r="P93" s="107"/>
      <c r="Q93" s="107"/>
      <c r="R93" s="107"/>
      <c r="S93" s="107"/>
      <c r="T93" s="107"/>
    </row>
    <row r="94" spans="8:20" ht="12.75">
      <c r="H94" s="107"/>
      <c r="I94" s="118" t="s">
        <v>1245</v>
      </c>
      <c r="L94" s="107"/>
      <c r="M94" s="107"/>
      <c r="N94" s="107"/>
      <c r="O94" s="107"/>
      <c r="P94" s="107"/>
      <c r="Q94" s="107"/>
      <c r="R94" s="107"/>
      <c r="S94" s="107"/>
      <c r="T94" s="107"/>
    </row>
    <row r="95" spans="8:20" ht="12.75">
      <c r="H95" s="107"/>
      <c r="L95" s="107"/>
      <c r="M95" s="107"/>
      <c r="N95" s="107"/>
      <c r="O95" s="107"/>
      <c r="P95" s="107"/>
      <c r="Q95" s="107"/>
      <c r="R95" s="107"/>
      <c r="S95" s="107"/>
      <c r="T95" s="107"/>
    </row>
    <row r="96" spans="8:20" ht="12.75">
      <c r="H96" s="107"/>
      <c r="I96" s="207" t="s">
        <v>905</v>
      </c>
      <c r="J96" s="164"/>
      <c r="K96" s="164"/>
      <c r="L96" s="107"/>
      <c r="M96" s="107"/>
      <c r="N96" s="107"/>
      <c r="O96" s="107"/>
      <c r="P96" s="107"/>
      <c r="Q96" s="107"/>
      <c r="R96" s="107"/>
      <c r="S96" s="107"/>
      <c r="T96" s="107"/>
    </row>
    <row r="97" spans="8:20" ht="12.75">
      <c r="H97" s="107"/>
      <c r="I97" s="207" t="s">
        <v>905</v>
      </c>
      <c r="J97" s="164"/>
      <c r="K97" s="164"/>
      <c r="L97" s="107"/>
      <c r="M97" s="107"/>
      <c r="N97" s="107"/>
      <c r="O97" s="107"/>
      <c r="P97" s="107"/>
      <c r="Q97" s="107"/>
      <c r="R97" s="107"/>
      <c r="S97" s="107"/>
      <c r="T97" s="107"/>
    </row>
    <row r="98" spans="8:20" ht="12.75">
      <c r="H98" s="107"/>
      <c r="I98" s="207" t="s">
        <v>905</v>
      </c>
      <c r="J98" s="164"/>
      <c r="K98" s="164"/>
      <c r="L98" s="107"/>
      <c r="M98" s="107"/>
      <c r="N98" s="107"/>
      <c r="O98" s="107"/>
      <c r="P98" s="107"/>
      <c r="Q98" s="107"/>
      <c r="R98" s="107"/>
      <c r="S98" s="107"/>
      <c r="T98" s="107"/>
    </row>
    <row r="99" spans="8:20" ht="12.75">
      <c r="H99" s="107"/>
      <c r="I99" s="207" t="s">
        <v>905</v>
      </c>
      <c r="J99" s="164"/>
      <c r="K99" s="164"/>
      <c r="L99" s="107"/>
      <c r="M99" s="107"/>
      <c r="N99" s="107"/>
      <c r="O99" s="107"/>
      <c r="P99" s="107"/>
      <c r="Q99" s="107"/>
      <c r="R99" s="107"/>
      <c r="S99" s="107"/>
      <c r="T99" s="107"/>
    </row>
    <row r="100" spans="8:20" ht="12.75">
      <c r="H100" s="107"/>
      <c r="I100" s="207" t="s">
        <v>905</v>
      </c>
      <c r="J100" s="164"/>
      <c r="K100" s="164"/>
      <c r="L100" s="107"/>
      <c r="M100" s="107"/>
      <c r="N100" s="107"/>
      <c r="O100" s="107"/>
      <c r="P100" s="107"/>
      <c r="Q100" s="107"/>
      <c r="R100" s="107"/>
      <c r="S100" s="107"/>
      <c r="T100" s="107"/>
    </row>
    <row r="101" spans="8:20" ht="12.75">
      <c r="H101" s="107"/>
      <c r="I101" s="207" t="s">
        <v>905</v>
      </c>
      <c r="J101" s="164"/>
      <c r="K101" s="164"/>
      <c r="L101" s="107"/>
      <c r="M101" s="107"/>
      <c r="N101" s="107"/>
      <c r="O101" s="107"/>
      <c r="P101" s="107"/>
      <c r="Q101" s="107"/>
      <c r="R101" s="107"/>
      <c r="S101" s="107"/>
      <c r="T101" s="107"/>
    </row>
    <row r="102" spans="8:20" ht="12.75">
      <c r="H102" s="107"/>
      <c r="I102" s="207"/>
      <c r="J102" s="164"/>
      <c r="K102" s="164"/>
      <c r="L102" s="107"/>
      <c r="M102" s="107"/>
      <c r="N102" s="107"/>
      <c r="O102" s="107"/>
      <c r="P102" s="107"/>
      <c r="Q102" s="107"/>
      <c r="R102" s="107"/>
      <c r="S102" s="107"/>
      <c r="T102" s="107"/>
    </row>
    <row r="103" spans="8:20" ht="12.75">
      <c r="H103" s="107"/>
      <c r="I103" s="207"/>
      <c r="J103" s="164"/>
      <c r="K103" s="164"/>
      <c r="L103" s="107"/>
      <c r="M103" s="107"/>
      <c r="N103" s="107"/>
      <c r="O103" s="107"/>
      <c r="P103" s="107"/>
      <c r="Q103" s="107"/>
      <c r="R103" s="107"/>
      <c r="S103" s="107"/>
      <c r="T103" s="107"/>
    </row>
    <row r="104" spans="8:20" ht="12.75">
      <c r="H104" s="107"/>
      <c r="I104" s="207"/>
      <c r="J104" s="164"/>
      <c r="K104" s="164"/>
      <c r="L104" s="107"/>
      <c r="M104" s="107"/>
      <c r="N104" s="107"/>
      <c r="O104" s="107"/>
      <c r="P104" s="107"/>
      <c r="Q104" s="107"/>
      <c r="R104" s="107"/>
      <c r="S104" s="107"/>
      <c r="T104" s="107"/>
    </row>
    <row r="105" spans="8:20" ht="12.75">
      <c r="H105" s="107"/>
      <c r="I105" s="207"/>
      <c r="J105" s="164"/>
      <c r="K105" s="164"/>
      <c r="L105" s="107"/>
      <c r="M105" s="107"/>
      <c r="N105" s="107"/>
      <c r="O105" s="107"/>
      <c r="P105" s="107"/>
      <c r="Q105" s="107"/>
      <c r="R105" s="107"/>
      <c r="S105" s="107"/>
      <c r="T105" s="107"/>
    </row>
    <row r="106" spans="8:20" ht="12.75">
      <c r="H106" s="107"/>
      <c r="L106" s="107"/>
      <c r="M106" s="107"/>
      <c r="N106" s="107"/>
      <c r="O106" s="107"/>
      <c r="P106" s="107"/>
      <c r="Q106" s="107"/>
      <c r="R106" s="107"/>
      <c r="S106" s="107"/>
      <c r="T106" s="107"/>
    </row>
    <row r="107" spans="8:20" ht="12.75">
      <c r="H107" s="107"/>
      <c r="L107" s="107"/>
      <c r="M107" s="107"/>
      <c r="N107" s="107"/>
      <c r="O107" s="107"/>
      <c r="P107" s="107"/>
      <c r="Q107" s="107"/>
      <c r="R107" s="107"/>
      <c r="S107" s="107"/>
      <c r="T107" s="107"/>
    </row>
    <row r="108" spans="8:20" ht="12.75">
      <c r="H108" s="107"/>
      <c r="L108" s="107"/>
      <c r="M108" s="107"/>
      <c r="N108" s="107"/>
      <c r="O108" s="107"/>
      <c r="P108" s="107"/>
      <c r="Q108" s="107"/>
      <c r="R108" s="107"/>
      <c r="S108" s="107"/>
      <c r="T108" s="107"/>
    </row>
    <row r="109" spans="8:20" ht="12.75">
      <c r="H109" s="107"/>
      <c r="L109" s="107"/>
      <c r="M109" s="107"/>
      <c r="N109" s="107"/>
      <c r="O109" s="107"/>
      <c r="P109" s="107"/>
      <c r="Q109" s="107"/>
      <c r="R109" s="107"/>
      <c r="S109" s="107"/>
      <c r="T109" s="107"/>
    </row>
    <row r="110" spans="8:20" ht="12.75">
      <c r="H110" s="107"/>
      <c r="L110" s="107"/>
      <c r="M110" s="107"/>
      <c r="N110" s="107"/>
      <c r="O110" s="107"/>
      <c r="P110" s="107"/>
      <c r="Q110" s="107"/>
      <c r="R110" s="107"/>
      <c r="S110" s="107"/>
      <c r="T110" s="107"/>
    </row>
    <row r="111" spans="8:20" ht="12.75">
      <c r="H111" s="107"/>
      <c r="I111" s="121" t="s">
        <v>1246</v>
      </c>
      <c r="L111" s="107"/>
      <c r="M111" s="107"/>
      <c r="N111" s="107"/>
      <c r="O111" s="107"/>
      <c r="P111" s="107"/>
      <c r="Q111" s="107"/>
      <c r="R111" s="107"/>
      <c r="S111" s="107"/>
      <c r="T111" s="107"/>
    </row>
    <row r="112" ht="12.75">
      <c r="H112" s="107"/>
    </row>
    <row r="113" spans="8:9" ht="12.75">
      <c r="H113" s="107"/>
      <c r="I113" s="122">
        <f>I56</f>
        <v>0</v>
      </c>
    </row>
    <row r="114" spans="8:9" ht="12.75">
      <c r="H114" s="107"/>
      <c r="I114" s="122"/>
    </row>
    <row r="115" spans="5:11" ht="12.75">
      <c r="E115" s="107"/>
      <c r="F115" s="108" t="str">
        <f>F1</f>
        <v>KENTUCKY DEPARTMENT OF HIGHWAYS</v>
      </c>
      <c r="H115" s="107"/>
      <c r="K115" s="109" t="str">
        <f>K1</f>
        <v>May 2012</v>
      </c>
    </row>
    <row r="116" spans="5:8" ht="12.75">
      <c r="E116" s="107"/>
      <c r="F116" s="108" t="str">
        <f>F2</f>
        <v>DIVISION OF MATERIALS</v>
      </c>
      <c r="H116" s="107"/>
    </row>
    <row r="117" spans="5:8" ht="12.75">
      <c r="E117" s="107"/>
      <c r="F117" s="108" t="str">
        <f>F3</f>
        <v>Laboratory Mix Design</v>
      </c>
      <c r="H117" s="107"/>
    </row>
    <row r="118" ht="12.75">
      <c r="H118" s="107"/>
    </row>
    <row r="119" spans="1:11" ht="12.75">
      <c r="A119" s="110" t="s">
        <v>1083</v>
      </c>
      <c r="B119" s="111">
        <f>B5</f>
        <v>0</v>
      </c>
      <c r="C119" s="110" t="s">
        <v>1010</v>
      </c>
      <c r="D119" s="112">
        <f>D5</f>
        <v>0</v>
      </c>
      <c r="E119" s="112"/>
      <c r="F119" s="110" t="s">
        <v>1232</v>
      </c>
      <c r="G119" s="1650">
        <f>G5</f>
      </c>
      <c r="H119" s="1650"/>
      <c r="I119" s="1650"/>
      <c r="J119" s="1650"/>
      <c r="K119" s="1650"/>
    </row>
    <row r="120" spans="1:11" ht="13.5">
      <c r="A120" s="110" t="s">
        <v>1233</v>
      </c>
      <c r="B120" s="112"/>
      <c r="C120" s="112" t="str">
        <f>C6</f>
        <v>Enter Project(s) &amp; Line Item(s)</v>
      </c>
      <c r="D120" s="112"/>
      <c r="E120" s="112"/>
      <c r="F120" s="112"/>
      <c r="G120" s="112"/>
      <c r="H120" s="110" t="s">
        <v>1234</v>
      </c>
      <c r="I120" s="113"/>
      <c r="J120" s="247">
        <f>J6</f>
      </c>
      <c r="K120" s="114"/>
    </row>
    <row r="121" spans="1:11" ht="12.75">
      <c r="A121" s="115"/>
      <c r="B121" s="112"/>
      <c r="C121" s="112" t="str">
        <f>C7</f>
        <v>On 'Project Items' Tab.</v>
      </c>
      <c r="D121" s="112"/>
      <c r="E121" s="112"/>
      <c r="F121" s="112"/>
      <c r="G121" s="112"/>
      <c r="H121" s="110" t="s">
        <v>1091</v>
      </c>
      <c r="I121" s="113"/>
      <c r="J121" s="116">
        <f>J7</f>
        <v>0</v>
      </c>
      <c r="K121" s="114"/>
    </row>
    <row r="122" spans="1:11" ht="12.75">
      <c r="A122" s="110" t="s">
        <v>1238</v>
      </c>
      <c r="B122" s="112"/>
      <c r="C122" s="117">
        <f>C8</f>
      </c>
      <c r="D122" s="112"/>
      <c r="E122" s="112"/>
      <c r="F122" s="112"/>
      <c r="G122" s="112"/>
      <c r="H122" s="110" t="s">
        <v>1239</v>
      </c>
      <c r="I122" s="112"/>
      <c r="J122" s="145">
        <f>J8</f>
        <v>0</v>
      </c>
      <c r="K122" s="114"/>
    </row>
    <row r="123" spans="1:11" ht="12.75">
      <c r="A123" s="112"/>
      <c r="B123" s="112"/>
      <c r="C123" s="112"/>
      <c r="D123" s="112"/>
      <c r="E123" s="112"/>
      <c r="F123" s="112"/>
      <c r="G123" s="112"/>
      <c r="H123" s="110" t="s">
        <v>1026</v>
      </c>
      <c r="I123" s="112"/>
      <c r="J123" s="145">
        <f>J9</f>
        <v>0</v>
      </c>
      <c r="K123" s="114"/>
    </row>
    <row r="124" ht="12.75">
      <c r="H124" s="107"/>
    </row>
    <row r="125" ht="12.75">
      <c r="H125" s="107"/>
    </row>
    <row r="126" ht="12.75">
      <c r="H126" s="107"/>
    </row>
    <row r="127" ht="12.75">
      <c r="H127" s="107"/>
    </row>
    <row r="128" spans="8:9" ht="12.75">
      <c r="H128" s="107"/>
      <c r="I128" s="118" t="s">
        <v>1240</v>
      </c>
    </row>
    <row r="129" ht="12.75">
      <c r="H129" s="107"/>
    </row>
    <row r="130" ht="12.75">
      <c r="H130" s="107"/>
    </row>
    <row r="131" spans="8:11" ht="12.75">
      <c r="H131" s="107"/>
      <c r="I131" s="119" t="s">
        <v>1241</v>
      </c>
      <c r="K131" s="123">
        <f>K17</f>
        <v>0</v>
      </c>
    </row>
    <row r="132" spans="8:11" ht="12.75">
      <c r="H132" s="107"/>
      <c r="I132" s="119"/>
      <c r="K132" s="120"/>
    </row>
    <row r="133" spans="8:11" ht="12.75">
      <c r="H133" s="107"/>
      <c r="I133" s="119"/>
      <c r="K133" s="120"/>
    </row>
    <row r="134" spans="8:11" ht="12.75">
      <c r="H134" s="107"/>
      <c r="I134" s="119" t="s">
        <v>1250</v>
      </c>
      <c r="K134" s="1466">
        <f>'Chart Data'!BL17</f>
      </c>
    </row>
    <row r="135" spans="8:11" ht="12.75">
      <c r="H135" s="107"/>
      <c r="I135" s="119"/>
      <c r="K135" s="120"/>
    </row>
    <row r="136" spans="8:11" ht="12.75">
      <c r="H136" s="107"/>
      <c r="I136" s="119"/>
      <c r="K136" s="120"/>
    </row>
    <row r="137" spans="8:11" ht="12.75">
      <c r="H137" s="107"/>
      <c r="I137" s="678" t="s">
        <v>1251</v>
      </c>
      <c r="K137" s="162"/>
    </row>
    <row r="138" spans="8:11" ht="12.75">
      <c r="H138" s="107"/>
      <c r="I138" s="119"/>
      <c r="K138" s="120"/>
    </row>
    <row r="139" spans="8:11" ht="12.75">
      <c r="H139" s="107"/>
      <c r="I139" s="119"/>
      <c r="K139" s="120"/>
    </row>
    <row r="140" spans="8:11" ht="12.75">
      <c r="H140" s="107"/>
      <c r="I140" s="119" t="s">
        <v>1252</v>
      </c>
      <c r="K140" s="162"/>
    </row>
    <row r="141" spans="8:9" ht="12.75">
      <c r="H141" s="107"/>
      <c r="I141" s="119"/>
    </row>
    <row r="142" ht="12.75">
      <c r="H142" s="107"/>
    </row>
    <row r="143" spans="8:11" ht="12.75">
      <c r="H143" s="107"/>
      <c r="I143" s="773">
        <f>I86</f>
      </c>
      <c r="J143" s="739"/>
      <c r="K143" s="739"/>
    </row>
    <row r="144" spans="8:11" ht="12.75">
      <c r="H144" s="107"/>
      <c r="I144" s="773">
        <f>I87</f>
      </c>
      <c r="J144" s="739"/>
      <c r="K144" s="739"/>
    </row>
    <row r="145" spans="8:11" ht="12.75">
      <c r="H145" s="107"/>
      <c r="I145" s="773">
        <f>I88</f>
      </c>
      <c r="J145" s="739"/>
      <c r="K145" s="739"/>
    </row>
    <row r="146" spans="8:9" ht="12.75">
      <c r="H146" s="107"/>
      <c r="I146" s="107"/>
    </row>
    <row r="147" ht="12.75">
      <c r="H147" s="107"/>
    </row>
    <row r="148" ht="12.75">
      <c r="H148" s="107"/>
    </row>
    <row r="149" ht="12.75">
      <c r="H149" s="107"/>
    </row>
    <row r="150" ht="12.75">
      <c r="H150" s="107"/>
    </row>
    <row r="151" spans="8:9" ht="12.75">
      <c r="H151" s="107"/>
      <c r="I151" s="118" t="s">
        <v>1245</v>
      </c>
    </row>
    <row r="152" ht="12.75">
      <c r="H152" s="107"/>
    </row>
    <row r="153" spans="8:11" ht="12.75">
      <c r="H153" s="107"/>
      <c r="I153" s="207" t="s">
        <v>905</v>
      </c>
      <c r="J153" s="164"/>
      <c r="K153" s="164"/>
    </row>
    <row r="154" spans="8:11" ht="12.75">
      <c r="H154" s="107"/>
      <c r="I154" s="207" t="s">
        <v>905</v>
      </c>
      <c r="J154" s="164"/>
      <c r="K154" s="164"/>
    </row>
    <row r="155" spans="8:11" ht="12.75">
      <c r="H155" s="107"/>
      <c r="I155" s="207" t="s">
        <v>905</v>
      </c>
      <c r="J155" s="164"/>
      <c r="K155" s="164"/>
    </row>
    <row r="156" spans="8:11" ht="12.75">
      <c r="H156" s="107"/>
      <c r="I156" s="207" t="s">
        <v>905</v>
      </c>
      <c r="J156" s="164"/>
      <c r="K156" s="164"/>
    </row>
    <row r="157" spans="1:11" ht="12.75">
      <c r="A157"/>
      <c r="B157"/>
      <c r="C157"/>
      <c r="D157"/>
      <c r="E157"/>
      <c r="F157"/>
      <c r="G157"/>
      <c r="H157" s="107"/>
      <c r="I157" s="207" t="s">
        <v>905</v>
      </c>
      <c r="J157" s="164"/>
      <c r="K157" s="164"/>
    </row>
    <row r="158" spans="1:11" ht="12.75">
      <c r="A158"/>
      <c r="B158"/>
      <c r="C158"/>
      <c r="D158"/>
      <c r="E158"/>
      <c r="F158"/>
      <c r="G158"/>
      <c r="H158" s="107"/>
      <c r="I158" s="207" t="s">
        <v>905</v>
      </c>
      <c r="J158" s="164"/>
      <c r="K158" s="164"/>
    </row>
    <row r="159" spans="1:11" ht="12.75">
      <c r="A159"/>
      <c r="B159"/>
      <c r="C159"/>
      <c r="D159"/>
      <c r="E159"/>
      <c r="F159"/>
      <c r="G159"/>
      <c r="H159" s="107"/>
      <c r="I159" s="207"/>
      <c r="J159" s="164"/>
      <c r="K159" s="164"/>
    </row>
    <row r="160" spans="1:11" ht="12.75">
      <c r="A160"/>
      <c r="B160"/>
      <c r="C160"/>
      <c r="D160"/>
      <c r="E160"/>
      <c r="F160"/>
      <c r="G160"/>
      <c r="H160" s="107"/>
      <c r="I160" s="207"/>
      <c r="J160" s="164"/>
      <c r="K160" s="164"/>
    </row>
    <row r="161" spans="1:11" ht="12.75">
      <c r="A161"/>
      <c r="B161"/>
      <c r="C161"/>
      <c r="D161"/>
      <c r="E161"/>
      <c r="F161"/>
      <c r="G161"/>
      <c r="H161" s="107"/>
      <c r="I161" s="207"/>
      <c r="J161" s="164"/>
      <c r="K161" s="164"/>
    </row>
    <row r="162" spans="1:11" ht="12.75">
      <c r="A162"/>
      <c r="B162"/>
      <c r="C162"/>
      <c r="D162"/>
      <c r="E162"/>
      <c r="F162"/>
      <c r="G162"/>
      <c r="H162" s="107"/>
      <c r="I162" s="207"/>
      <c r="J162" s="164"/>
      <c r="K162" s="164"/>
    </row>
    <row r="163" spans="1:9" ht="12.75">
      <c r="A163"/>
      <c r="B163"/>
      <c r="C163"/>
      <c r="D163"/>
      <c r="E163"/>
      <c r="F163"/>
      <c r="G163"/>
      <c r="H163" s="107"/>
      <c r="I163" s="124"/>
    </row>
    <row r="164" spans="1:8" ht="12.75">
      <c r="A164"/>
      <c r="B164"/>
      <c r="C164"/>
      <c r="D164"/>
      <c r="E164"/>
      <c r="F164"/>
      <c r="G164"/>
      <c r="H164" s="107"/>
    </row>
    <row r="165" spans="1:8" ht="12.75">
      <c r="A165"/>
      <c r="B165"/>
      <c r="C165"/>
      <c r="D165"/>
      <c r="E165"/>
      <c r="F165"/>
      <c r="G165"/>
      <c r="H165" s="107"/>
    </row>
    <row r="166" spans="1:8" ht="12.75">
      <c r="A166"/>
      <c r="B166"/>
      <c r="C166"/>
      <c r="D166"/>
      <c r="E166"/>
      <c r="F166"/>
      <c r="G166"/>
      <c r="H166" s="107"/>
    </row>
    <row r="167" spans="1:8" ht="12.75">
      <c r="A167"/>
      <c r="B167"/>
      <c r="C167"/>
      <c r="D167"/>
      <c r="E167"/>
      <c r="F167"/>
      <c r="G167"/>
      <c r="H167" s="107"/>
    </row>
    <row r="168" spans="1:9" ht="12.75">
      <c r="A168"/>
      <c r="B168"/>
      <c r="C168"/>
      <c r="D168"/>
      <c r="E168"/>
      <c r="F168"/>
      <c r="G168"/>
      <c r="H168" s="107"/>
      <c r="I168" s="121" t="s">
        <v>1246</v>
      </c>
    </row>
    <row r="169" spans="1:8" ht="12.75">
      <c r="A169"/>
      <c r="B169"/>
      <c r="C169"/>
      <c r="D169"/>
      <c r="E169"/>
      <c r="F169"/>
      <c r="G169"/>
      <c r="H169" s="107"/>
    </row>
    <row r="170" spans="1:9" ht="12.75">
      <c r="A170"/>
      <c r="B170"/>
      <c r="C170"/>
      <c r="D170"/>
      <c r="E170"/>
      <c r="F170"/>
      <c r="G170"/>
      <c r="H170" s="107"/>
      <c r="I170" s="122">
        <f>I56</f>
        <v>0</v>
      </c>
    </row>
    <row r="171" spans="1:9" ht="12.75">
      <c r="A171"/>
      <c r="B171"/>
      <c r="C171"/>
      <c r="D171"/>
      <c r="E171"/>
      <c r="F171"/>
      <c r="G171"/>
      <c r="H171" s="107"/>
      <c r="I171" s="107"/>
    </row>
    <row r="172" spans="8:9" ht="12.75">
      <c r="H172" s="107"/>
      <c r="I172" s="107"/>
    </row>
    <row r="173" spans="8:9" ht="12.75">
      <c r="H173" s="107"/>
      <c r="I173" s="122"/>
    </row>
    <row r="174" spans="8:9" ht="12.75">
      <c r="H174" s="107"/>
      <c r="I174" s="122"/>
    </row>
    <row r="175" ht="12.75">
      <c r="I175" s="122"/>
    </row>
    <row r="176" spans="1:6" ht="12.75">
      <c r="A176" s="125"/>
      <c r="B176" s="125"/>
      <c r="C176" s="125"/>
      <c r="D176" s="126"/>
      <c r="E176" s="125"/>
      <c r="F176" s="125"/>
    </row>
    <row r="177" spans="1:6" ht="12.75">
      <c r="A177" s="125"/>
      <c r="B177" s="125"/>
      <c r="C177" s="125"/>
      <c r="D177" s="126"/>
      <c r="E177" s="125"/>
      <c r="F177" s="125"/>
    </row>
    <row r="178" spans="1:6" ht="12.75">
      <c r="A178" s="125"/>
      <c r="B178" s="125"/>
      <c r="C178" s="125"/>
      <c r="D178" s="126"/>
      <c r="E178" s="125"/>
      <c r="F178" s="125"/>
    </row>
    <row r="179" spans="1:6" ht="12.75">
      <c r="A179" s="125"/>
      <c r="B179" s="125"/>
      <c r="C179" s="125"/>
      <c r="D179" s="126"/>
      <c r="E179" s="125"/>
      <c r="F179" s="125"/>
    </row>
    <row r="180" spans="1:6" ht="12.75">
      <c r="A180" s="125"/>
      <c r="B180" s="125"/>
      <c r="C180" s="125"/>
      <c r="D180" s="127"/>
      <c r="E180" s="125"/>
      <c r="F180" s="125"/>
    </row>
    <row r="181" spans="1:6" ht="12.75">
      <c r="A181" s="125"/>
      <c r="B181" s="125"/>
      <c r="C181" s="125"/>
      <c r="D181" s="127"/>
      <c r="E181" s="125"/>
      <c r="F181" s="125"/>
    </row>
    <row r="182" spans="1:6" ht="12.75">
      <c r="A182" s="125"/>
      <c r="B182" s="125"/>
      <c r="C182" s="125"/>
      <c r="D182" s="127"/>
      <c r="E182" s="125"/>
      <c r="F182" s="125"/>
    </row>
    <row r="183" spans="1:6" ht="12.75">
      <c r="A183" s="125"/>
      <c r="B183" s="125"/>
      <c r="C183" s="125"/>
      <c r="D183" s="127"/>
      <c r="E183" s="125"/>
      <c r="F183" s="125"/>
    </row>
    <row r="184" spans="1:6" ht="12.75">
      <c r="A184" s="125"/>
      <c r="B184" s="126"/>
      <c r="C184" s="125"/>
      <c r="D184" s="125"/>
      <c r="E184" s="125"/>
      <c r="F184" s="125"/>
    </row>
    <row r="185" spans="1:6" ht="12.75">
      <c r="A185" s="125"/>
      <c r="B185" s="126"/>
      <c r="C185" s="125"/>
      <c r="D185" s="125"/>
      <c r="E185" s="125"/>
      <c r="F185" s="125"/>
    </row>
    <row r="186" spans="1:6" ht="12.75">
      <c r="A186" s="125"/>
      <c r="B186" s="126"/>
      <c r="C186" s="125"/>
      <c r="D186" s="125"/>
      <c r="E186" s="125"/>
      <c r="F186" s="125"/>
    </row>
    <row r="187" spans="1:6" ht="12.75">
      <c r="A187" s="125"/>
      <c r="B187" s="126"/>
      <c r="C187" s="125"/>
      <c r="D187" s="125"/>
      <c r="E187" s="125"/>
      <c r="F187" s="125"/>
    </row>
    <row r="188" spans="1:6" ht="12.75">
      <c r="A188" s="125"/>
      <c r="B188" s="125"/>
      <c r="C188" s="125"/>
      <c r="D188" s="126"/>
      <c r="E188" s="125"/>
      <c r="F188" s="125"/>
    </row>
    <row r="189" spans="1:6" ht="12.75">
      <c r="A189" s="125"/>
      <c r="B189" s="125"/>
      <c r="C189" s="125"/>
      <c r="D189" s="126"/>
      <c r="E189" s="125"/>
      <c r="F189" s="125"/>
    </row>
    <row r="190" spans="1:6" ht="12.75">
      <c r="A190" s="125"/>
      <c r="B190" s="125"/>
      <c r="C190" s="125"/>
      <c r="D190" s="127"/>
      <c r="E190" s="125"/>
      <c r="F190" s="125"/>
    </row>
    <row r="191" spans="1:6" ht="12.75">
      <c r="A191" s="125"/>
      <c r="B191" s="125"/>
      <c r="C191" s="125"/>
      <c r="D191" s="127"/>
      <c r="E191" s="125"/>
      <c r="F191" s="125"/>
    </row>
    <row r="192" spans="1:6" ht="12.75">
      <c r="A192" s="125"/>
      <c r="B192" s="126"/>
      <c r="C192" s="125"/>
      <c r="D192" s="125"/>
      <c r="E192" s="125"/>
      <c r="F192" s="125"/>
    </row>
    <row r="193" spans="1:6" ht="12.75">
      <c r="A193" s="125"/>
      <c r="B193" s="126"/>
      <c r="C193" s="125"/>
      <c r="D193" s="125"/>
      <c r="E193" s="125"/>
      <c r="F193" s="125"/>
    </row>
  </sheetData>
  <sheetProtection password="C550" sheet="1" objects="1" scenarios="1"/>
  <mergeCells count="3">
    <mergeCell ref="G5:K5"/>
    <mergeCell ref="G62:K62"/>
    <mergeCell ref="G119:K119"/>
  </mergeCells>
  <printOptions horizontalCentered="1" verticalCentered="1"/>
  <pageMargins left="0.25" right="0.25" top="0.25" bottom="0" header="0.5" footer="0.5"/>
  <pageSetup orientation="portrait" r:id="rId2"/>
  <rowBreaks count="3" manualBreakCount="3">
    <brk id="57" max="10" man="1"/>
    <brk id="114" max="10" man="1"/>
    <brk id="171" max="65535" man="1"/>
  </rowBreaks>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U61"/>
  <sheetViews>
    <sheetView showGridLines="0" zoomScale="85" zoomScaleNormal="85" zoomScalePageLayoutView="0" workbookViewId="0" topLeftCell="A1">
      <selection activeCell="A1" sqref="A1"/>
    </sheetView>
  </sheetViews>
  <sheetFormatPr defaultColWidth="9.140625" defaultRowHeight="12.75"/>
  <cols>
    <col min="1" max="1" width="14.421875" style="340" customWidth="1"/>
    <col min="2" max="2" width="7.28125" style="340" customWidth="1"/>
    <col min="3" max="3" width="7.7109375" style="340" customWidth="1"/>
    <col min="4" max="4" width="7.57421875" style="340" customWidth="1"/>
    <col min="5" max="15" width="7.28125" style="340" customWidth="1"/>
    <col min="16" max="16" width="9.00390625" style="340" customWidth="1"/>
    <col min="17" max="16384" width="9.140625" style="340" customWidth="1"/>
  </cols>
  <sheetData>
    <row r="1" spans="1:15" ht="13.5" thickTop="1">
      <c r="A1" s="337"/>
      <c r="B1" s="338"/>
      <c r="C1" s="338"/>
      <c r="D1" s="338"/>
      <c r="E1" s="338"/>
      <c r="F1" s="338"/>
      <c r="G1" s="338"/>
      <c r="H1" s="338"/>
      <c r="I1" s="338"/>
      <c r="J1" s="338"/>
      <c r="K1" s="338"/>
      <c r="L1" s="338"/>
      <c r="M1" s="338"/>
      <c r="N1" s="338"/>
      <c r="O1" s="339" t="s">
        <v>2557</v>
      </c>
    </row>
    <row r="2" spans="1:15" s="344" customFormat="1" ht="13.5" customHeight="1">
      <c r="A2" s="341" t="s">
        <v>906</v>
      </c>
      <c r="B2" s="342"/>
      <c r="C2" s="342"/>
      <c r="D2" s="342"/>
      <c r="E2" s="342"/>
      <c r="F2" s="342"/>
      <c r="G2" s="342"/>
      <c r="H2" s="342"/>
      <c r="I2" s="342"/>
      <c r="J2" s="342"/>
      <c r="K2" s="342"/>
      <c r="L2" s="342"/>
      <c r="M2" s="342"/>
      <c r="N2" s="342"/>
      <c r="O2" s="343"/>
    </row>
    <row r="3" spans="1:15" s="344" customFormat="1" ht="13.5" customHeight="1">
      <c r="A3" s="341" t="s">
        <v>907</v>
      </c>
      <c r="B3" s="342"/>
      <c r="C3" s="342"/>
      <c r="D3" s="342"/>
      <c r="E3" s="342"/>
      <c r="F3" s="342"/>
      <c r="G3" s="342"/>
      <c r="H3" s="342"/>
      <c r="I3" s="342"/>
      <c r="J3" s="342"/>
      <c r="K3" s="342"/>
      <c r="L3" s="342"/>
      <c r="M3" s="342"/>
      <c r="N3" s="342"/>
      <c r="O3" s="343"/>
    </row>
    <row r="4" spans="1:15" s="344" customFormat="1" ht="13.5" customHeight="1">
      <c r="A4" s="341" t="s">
        <v>908</v>
      </c>
      <c r="B4" s="342"/>
      <c r="C4" s="342"/>
      <c r="D4" s="342"/>
      <c r="E4" s="342"/>
      <c r="F4" s="342"/>
      <c r="G4" s="342"/>
      <c r="H4" s="342"/>
      <c r="I4" s="342"/>
      <c r="J4" s="342"/>
      <c r="K4" s="342"/>
      <c r="L4" s="342"/>
      <c r="M4" s="342"/>
      <c r="N4" s="342"/>
      <c r="O4" s="343"/>
    </row>
    <row r="5" spans="1:15" s="344" customFormat="1" ht="13.5" customHeight="1" thickBot="1">
      <c r="A5" s="345"/>
      <c r="B5" s="346"/>
      <c r="C5" s="346"/>
      <c r="D5" s="346"/>
      <c r="E5" s="346"/>
      <c r="F5" s="346"/>
      <c r="G5" s="346"/>
      <c r="H5" s="346"/>
      <c r="I5" s="346"/>
      <c r="J5" s="346"/>
      <c r="K5" s="346"/>
      <c r="L5" s="346"/>
      <c r="M5" s="346"/>
      <c r="N5" s="346"/>
      <c r="O5" s="347"/>
    </row>
    <row r="6" s="344" customFormat="1" ht="13.5" customHeight="1" thickTop="1"/>
    <row r="7" spans="1:15" s="344" customFormat="1" ht="13.5" customHeight="1">
      <c r="A7" s="348" t="s">
        <v>1253</v>
      </c>
      <c r="B7" s="349"/>
      <c r="C7" s="349"/>
      <c r="D7" s="349"/>
      <c r="E7" s="349"/>
      <c r="F7" s="349"/>
      <c r="G7" s="349"/>
      <c r="H7" s="349"/>
      <c r="I7" s="349"/>
      <c r="J7" s="349"/>
      <c r="K7" s="349"/>
      <c r="L7" s="349"/>
      <c r="M7" s="349"/>
      <c r="N7" s="349"/>
      <c r="O7" s="349"/>
    </row>
    <row r="8" spans="1:15" s="344" customFormat="1" ht="13.5" customHeight="1">
      <c r="A8"/>
      <c r="B8" s="350"/>
      <c r="C8" s="350"/>
      <c r="D8" s="350"/>
      <c r="E8" s="350"/>
      <c r="F8" s="350"/>
      <c r="G8" s="350"/>
      <c r="H8" s="350"/>
      <c r="I8" s="350"/>
      <c r="J8" s="350"/>
      <c r="K8" s="350"/>
      <c r="L8" s="350"/>
      <c r="M8" s="350"/>
      <c r="N8" s="350"/>
      <c r="O8" s="350"/>
    </row>
    <row r="9" spans="1:15" s="344" customFormat="1" ht="13.5" customHeight="1">
      <c r="A9" s="351" t="s">
        <v>1254</v>
      </c>
      <c r="B9" s="352">
        <f>IF('Design Data'!H10="","",'Design Data'!H10)</f>
      </c>
      <c r="E9"/>
      <c r="F9" s="351" t="s">
        <v>911</v>
      </c>
      <c r="H9" s="352">
        <f>IF('Design Data'!K10="","",'Design Data'!K10)</f>
      </c>
      <c r="J9" s="351" t="s">
        <v>1255</v>
      </c>
      <c r="K9"/>
      <c r="L9" s="1651">
        <f>'Chart Data'!W14</f>
      </c>
      <c r="M9" s="1651"/>
      <c r="N9" s="1651"/>
      <c r="O9" s="1651"/>
    </row>
    <row r="10" spans="5:15" s="344" customFormat="1" ht="13.5" customHeight="1">
      <c r="E10"/>
      <c r="K10"/>
      <c r="L10" s="1651"/>
      <c r="M10" s="1651"/>
      <c r="N10" s="1651"/>
      <c r="O10" s="1651"/>
    </row>
    <row r="11" spans="1:20" s="344" customFormat="1" ht="13.5" customHeight="1">
      <c r="A11" s="351" t="s">
        <v>1256</v>
      </c>
      <c r="B11" s="352" t="str">
        <f>IF('Design Data'!C14="","",'Design Data'!C14)</f>
        <v>Enter Project(s) &amp; Line Item(s)</v>
      </c>
      <c r="E11"/>
      <c r="F11" s="351" t="s">
        <v>912</v>
      </c>
      <c r="H11" s="352">
        <f>IF('Design Data'!H12="","",'Design Data'!H12)</f>
      </c>
      <c r="J11" s="351" t="s">
        <v>1257</v>
      </c>
      <c r="K11"/>
      <c r="L11" s="1662">
        <f>IF('Design Data'!Q14="","",'Design Data'!I15)</f>
      </c>
      <c r="M11" s="1662"/>
      <c r="N11" s="1662"/>
      <c r="O11" s="1662"/>
      <c r="P11" s="43"/>
      <c r="Q11" s="353"/>
      <c r="R11" s="354"/>
      <c r="S11" s="353"/>
      <c r="T11" s="353"/>
    </row>
    <row r="12" spans="2:16" s="344" customFormat="1" ht="13.5" customHeight="1">
      <c r="B12" s="352" t="str">
        <f>IF('Design Data'!C15="","",'Design Data'!C15)</f>
        <v>On 'Project Items' Tab.</v>
      </c>
      <c r="E12"/>
      <c r="F12"/>
      <c r="G12"/>
      <c r="H12"/>
      <c r="I12"/>
      <c r="J12"/>
      <c r="K12"/>
      <c r="L12" s="1662"/>
      <c r="M12" s="1662"/>
      <c r="N12" s="1662"/>
      <c r="O12" s="1662"/>
      <c r="P12" s="43"/>
    </row>
    <row r="13" spans="1:16" s="344" customFormat="1" ht="13.5" customHeight="1">
      <c r="A13" s="351" t="s">
        <v>1258</v>
      </c>
      <c r="B13" s="352">
        <f>IF('Design Data'!C18="","",'Design Data'!C18)</f>
      </c>
      <c r="E13"/>
      <c r="F13" s="351" t="s">
        <v>294</v>
      </c>
      <c r="H13" s="344">
        <f>IF('Chart Data'!AJ37="","",'Chart Data'!AJ37)</f>
      </c>
      <c r="J13" s="351" t="s">
        <v>913</v>
      </c>
      <c r="K13"/>
      <c r="L13" s="344" t="s">
        <v>1259</v>
      </c>
      <c r="M13"/>
      <c r="N13"/>
      <c r="O13"/>
      <c r="P13" s="43"/>
    </row>
    <row r="14" spans="1:16" s="344" customFormat="1" ht="13.5" customHeight="1" thickBot="1">
      <c r="A14" s="1183" t="s">
        <v>293</v>
      </c>
      <c r="B14"/>
      <c r="E14"/>
      <c r="J14" s="43"/>
      <c r="P14" s="43"/>
    </row>
    <row r="15" spans="1:16" s="344" customFormat="1" ht="13.5" customHeight="1" thickBot="1" thickTop="1">
      <c r="A15" s="351" t="s">
        <v>1260</v>
      </c>
      <c r="B15" s="352">
        <f>IF('Design Data'!H18="","",'Design Data'!A17)</f>
      </c>
      <c r="E15"/>
      <c r="F15" s="81" t="s">
        <v>2228</v>
      </c>
      <c r="H15" s="1185">
        <f>IF(H13="","",VLOOKUP(H13,'Chart Data'!J33:K36,2,FALSE))</f>
      </c>
      <c r="I15" s="1184"/>
      <c r="J15"/>
      <c r="K15" s="355" t="s">
        <v>1261</v>
      </c>
      <c r="L15" s="356"/>
      <c r="M15" s="357"/>
      <c r="N15" s="358"/>
      <c r="O15" s="359"/>
      <c r="P15" s="43"/>
    </row>
    <row r="16" spans="1:18" s="344" customFormat="1" ht="13.5" customHeight="1" thickBot="1" thickTop="1">
      <c r="A16"/>
      <c r="B16"/>
      <c r="C16"/>
      <c r="D16"/>
      <c r="E16"/>
      <c r="F16"/>
      <c r="G16"/>
      <c r="H16"/>
      <c r="I16"/>
      <c r="J16"/>
      <c r="K16" s="360" t="s">
        <v>1262</v>
      </c>
      <c r="L16" s="361"/>
      <c r="M16" s="362"/>
      <c r="N16" s="363"/>
      <c r="O16" s="364"/>
      <c r="P16" s="43"/>
      <c r="Q16" s="365"/>
      <c r="R16" s="365"/>
    </row>
    <row r="17" spans="1:18" s="344" customFormat="1" ht="13.5" customHeight="1" thickTop="1">
      <c r="A17" s="366" t="str">
        <f>IF(B31=150,"TSR specimens are to be compacted to a height","TSR specimens are to be compacted by the")</f>
        <v>TSR specimens are to be compacted to a height</v>
      </c>
      <c r="B17" s="367"/>
      <c r="C17" s="367"/>
      <c r="D17" s="367"/>
      <c r="E17" s="368"/>
      <c r="F17"/>
      <c r="G17" s="369" t="s">
        <v>1263</v>
      </c>
      <c r="H17" s="370" t="s">
        <v>1264</v>
      </c>
      <c r="I17" s="371"/>
      <c r="J17"/>
      <c r="K17" s="753" t="s">
        <v>1265</v>
      </c>
      <c r="L17" s="754"/>
      <c r="M17" s="755"/>
      <c r="N17" s="756"/>
      <c r="O17" s="757"/>
      <c r="P17" s="330"/>
      <c r="Q17" s="377"/>
      <c r="R17" s="377"/>
    </row>
    <row r="18" spans="1:18" s="344" customFormat="1" ht="13.5" customHeight="1" thickBot="1">
      <c r="A18" s="378" t="str">
        <f>IF(B31=150,"of 95.0 mm with a target air void percentage of","amount of blows that will yeild 7.0% (+ or - 1.0%)")</f>
        <v>of 95.0 mm with a target air void percentage of</v>
      </c>
      <c r="B18" s="379"/>
      <c r="C18" s="379"/>
      <c r="D18" s="379"/>
      <c r="E18" s="380"/>
      <c r="F18"/>
      <c r="G18" s="681"/>
      <c r="H18" s="1652"/>
      <c r="I18" s="1653"/>
      <c r="J18" s="381"/>
      <c r="K18" s="372" t="s">
        <v>1266</v>
      </c>
      <c r="L18" s="373"/>
      <c r="M18" s="374"/>
      <c r="N18" s="375">
        <f>IF(N17="","",(($G$18)*N17)/(100-($G$18)))</f>
      </c>
      <c r="O18" s="376">
        <f>IF(O17="","",(($G$18)*O17)/(100-($G$18)))</f>
      </c>
      <c r="P18" s="43"/>
      <c r="Q18" s="365"/>
      <c r="R18" s="365"/>
    </row>
    <row r="19" spans="1:18" s="344" customFormat="1" ht="13.5" customHeight="1" thickTop="1">
      <c r="A19" s="378" t="str">
        <f>IF(B31=150,"7.0 % (+ or - 1.0 %).  The target degree of initial","air voids.  The target degree of initial saturation")</f>
        <v>7.0 % (+ or - 1.0 %).  The target degree of initial</v>
      </c>
      <c r="B19" s="379"/>
      <c r="C19" s="379"/>
      <c r="D19" s="379"/>
      <c r="E19" s="380"/>
      <c r="F19"/>
      <c r="G19" s="370" t="s">
        <v>1267</v>
      </c>
      <c r="H19" s="382"/>
      <c r="I19" s="371"/>
      <c r="J19"/>
      <c r="K19" s="383" t="s">
        <v>1268</v>
      </c>
      <c r="L19" s="373"/>
      <c r="M19" s="384"/>
      <c r="N19" s="385"/>
      <c r="O19" s="386"/>
      <c r="P19" s="43"/>
      <c r="Q19" s="387"/>
      <c r="R19" s="387"/>
    </row>
    <row r="20" spans="1:21" s="344" customFormat="1" ht="13.5" customHeight="1" thickBot="1">
      <c r="A20" s="388" t="str">
        <f>IF(B31=150,"saturation is 65.0% (+ or - 5.0 %).","is 65.0% (+ or - 5.0%)")</f>
        <v>saturation is 65.0% (+ or - 5.0 %).</v>
      </c>
      <c r="B20" s="389"/>
      <c r="C20" s="389"/>
      <c r="D20" s="389"/>
      <c r="E20" s="390"/>
      <c r="F20"/>
      <c r="G20" s="1654"/>
      <c r="H20" s="1655"/>
      <c r="I20" s="1656"/>
      <c r="J20" s="391"/>
      <c r="K20" s="383" t="s">
        <v>1269</v>
      </c>
      <c r="L20" s="373"/>
      <c r="M20" s="392"/>
      <c r="N20" s="385"/>
      <c r="O20" s="386"/>
      <c r="P20" s="43"/>
      <c r="Q20" s="387"/>
      <c r="R20" s="387"/>
      <c r="S20"/>
      <c r="T20"/>
      <c r="U20"/>
    </row>
    <row r="21" spans="1:21" s="344" customFormat="1" ht="13.5" customHeight="1" thickBot="1" thickTop="1">
      <c r="A21"/>
      <c r="B21"/>
      <c r="C21"/>
      <c r="D21"/>
      <c r="E21"/>
      <c r="F21"/>
      <c r="G21"/>
      <c r="H21"/>
      <c r="I21"/>
      <c r="J21" s="393"/>
      <c r="K21" s="383" t="s">
        <v>1270</v>
      </c>
      <c r="L21" s="373"/>
      <c r="M21" s="394"/>
      <c r="N21" s="385"/>
      <c r="O21" s="386"/>
      <c r="P21" s="43"/>
      <c r="Q21" s="387"/>
      <c r="R21" s="387"/>
      <c r="S21"/>
      <c r="T21"/>
      <c r="U21"/>
    </row>
    <row r="22" spans="1:18" s="344" customFormat="1" ht="13.5" customHeight="1" thickBot="1" thickTop="1">
      <c r="A22" s="395" t="s">
        <v>1271</v>
      </c>
      <c r="B22" s="396"/>
      <c r="C22" s="397" t="s">
        <v>1272</v>
      </c>
      <c r="D22" s="398"/>
      <c r="E22" s="399" t="s">
        <v>1273</v>
      </c>
      <c r="F22" s="398"/>
      <c r="G22" s="400"/>
      <c r="H22" s="401" t="s">
        <v>1274</v>
      </c>
      <c r="I22" s="402"/>
      <c r="J22"/>
      <c r="K22" s="383" t="s">
        <v>1275</v>
      </c>
      <c r="L22" s="373"/>
      <c r="M22" s="403"/>
      <c r="N22" s="404">
        <f>IF(N21="","",N21-N20)</f>
      </c>
      <c r="O22" s="405">
        <f>IF(O21="","",O21-O20)</f>
      </c>
      <c r="Q22" s="387"/>
      <c r="R22" s="387"/>
    </row>
    <row r="23" spans="1:18" s="344" customFormat="1" ht="13.5" customHeight="1" thickTop="1">
      <c r="A23" s="406" t="s">
        <v>1276</v>
      </c>
      <c r="B23" s="407"/>
      <c r="C23" s="1677"/>
      <c r="D23" s="1678"/>
      <c r="E23" s="1669"/>
      <c r="F23" s="1670"/>
      <c r="G23" s="1657"/>
      <c r="H23" s="1658"/>
      <c r="I23" s="1659"/>
      <c r="J23"/>
      <c r="K23" s="383" t="s">
        <v>1277</v>
      </c>
      <c r="L23" s="373"/>
      <c r="M23" s="408"/>
      <c r="N23" s="409">
        <f>IF(N22="","",(N19/N22))</f>
      </c>
      <c r="O23" s="410">
        <f>IF(O22="","",(O19/O22))</f>
      </c>
      <c r="Q23" s="411"/>
      <c r="R23" s="411"/>
    </row>
    <row r="24" spans="1:18" s="344" customFormat="1" ht="13.5" customHeight="1">
      <c r="A24" s="412" t="s">
        <v>1278</v>
      </c>
      <c r="B24" s="413"/>
      <c r="C24" s="1673"/>
      <c r="D24" s="1674"/>
      <c r="E24" s="1660"/>
      <c r="F24" s="1661"/>
      <c r="G24" s="1663"/>
      <c r="H24" s="1664"/>
      <c r="I24" s="1665"/>
      <c r="J24"/>
      <c r="K24" s="383" t="s">
        <v>1037</v>
      </c>
      <c r="L24" s="373"/>
      <c r="M24" s="414"/>
      <c r="N24" s="415"/>
      <c r="O24" s="410">
        <f>IF(N24="","",N24)</f>
      </c>
      <c r="Q24" s="411"/>
      <c r="R24" s="411"/>
    </row>
    <row r="25" spans="1:18" s="344" customFormat="1" ht="13.5" customHeight="1">
      <c r="A25" s="412" t="s">
        <v>1279</v>
      </c>
      <c r="B25" s="416"/>
      <c r="C25" s="1673"/>
      <c r="D25" s="1674"/>
      <c r="E25" s="1660"/>
      <c r="F25" s="1661"/>
      <c r="G25" s="1663"/>
      <c r="H25" s="1664"/>
      <c r="I25" s="1665"/>
      <c r="J25"/>
      <c r="K25" s="383" t="s">
        <v>1034</v>
      </c>
      <c r="L25" s="373"/>
      <c r="M25" s="374"/>
      <c r="N25" s="404">
        <f>IF(N21="","",(100*(N24-N23)/N24))</f>
      </c>
      <c r="O25" s="405">
        <f>IF(O21="","",(100*(O24-O23)/O24))</f>
      </c>
      <c r="Q25" s="387"/>
      <c r="R25" s="387"/>
    </row>
    <row r="26" spans="1:18" s="344" customFormat="1" ht="13.5" customHeight="1">
      <c r="A26" s="417" t="s">
        <v>1280</v>
      </c>
      <c r="B26" s="416"/>
      <c r="C26" s="1673"/>
      <c r="D26" s="1674"/>
      <c r="E26" s="1660"/>
      <c r="F26" s="1661"/>
      <c r="G26" s="1663"/>
      <c r="H26" s="1664"/>
      <c r="I26" s="1665"/>
      <c r="J26"/>
      <c r="K26" s="372" t="s">
        <v>1281</v>
      </c>
      <c r="L26" s="373"/>
      <c r="M26" s="242"/>
      <c r="N26" s="418">
        <f>IF(N24="","",7)</f>
      </c>
      <c r="O26" s="419">
        <f>IF(N24="","","%")</f>
      </c>
      <c r="Q26" s="294"/>
      <c r="R26" s="365"/>
    </row>
    <row r="27" spans="1:18" s="344" customFormat="1" ht="13.5" customHeight="1">
      <c r="A27" s="412" t="s">
        <v>1282</v>
      </c>
      <c r="B27" s="416"/>
      <c r="C27" s="1673"/>
      <c r="D27" s="1674"/>
      <c r="E27" s="1660"/>
      <c r="F27" s="1661"/>
      <c r="G27" s="1663"/>
      <c r="H27" s="1664"/>
      <c r="I27" s="1665"/>
      <c r="J27"/>
      <c r="K27" s="372" t="s">
        <v>1283</v>
      </c>
      <c r="L27" s="373"/>
      <c r="M27" s="374"/>
      <c r="N27" s="420">
        <f>IF($N$21="","",(N17+(((N25-N26)/(N25-O25))*(O17-N17))))</f>
      </c>
      <c r="O27" s="421"/>
      <c r="Q27" s="293"/>
      <c r="R27" s="365"/>
    </row>
    <row r="28" spans="1:18" s="344" customFormat="1" ht="13.5" customHeight="1" thickBot="1">
      <c r="A28" s="422" t="s">
        <v>1284</v>
      </c>
      <c r="B28" s="423"/>
      <c r="C28" s="1675"/>
      <c r="D28" s="1676"/>
      <c r="E28" s="1671"/>
      <c r="F28" s="1672"/>
      <c r="G28" s="1666"/>
      <c r="H28" s="1667"/>
      <c r="I28" s="1668"/>
      <c r="J28"/>
      <c r="K28" s="424" t="s">
        <v>1285</v>
      </c>
      <c r="L28" s="425"/>
      <c r="M28" s="426"/>
      <c r="N28" s="427">
        <f>IF(N27="","",(($G$18)*N27)/(100-($G$18)))</f>
      </c>
      <c r="O28" s="428"/>
      <c r="Q28" s="377"/>
      <c r="R28" s="429"/>
    </row>
    <row r="29" spans="10:15" s="344" customFormat="1" ht="13.5" customHeight="1" thickBot="1" thickTop="1">
      <c r="J29"/>
      <c r="K29"/>
      <c r="L29"/>
      <c r="M29"/>
      <c r="N29"/>
      <c r="O29"/>
    </row>
    <row r="30" spans="1:15" ht="13.5" customHeight="1" thickBot="1" thickTop="1">
      <c r="A30" s="430" t="s">
        <v>1286</v>
      </c>
      <c r="B30" s="431">
        <v>1</v>
      </c>
      <c r="C30" s="432">
        <v>2</v>
      </c>
      <c r="D30" s="432">
        <v>3</v>
      </c>
      <c r="E30" s="432">
        <v>4</v>
      </c>
      <c r="F30" s="432">
        <v>5</v>
      </c>
      <c r="G30" s="433">
        <v>6</v>
      </c>
      <c r="H30" s="434" t="s">
        <v>992</v>
      </c>
      <c r="I30" s="431">
        <v>7</v>
      </c>
      <c r="J30" s="432">
        <v>8</v>
      </c>
      <c r="K30" s="432">
        <v>9</v>
      </c>
      <c r="L30" s="432">
        <v>10</v>
      </c>
      <c r="M30" s="432">
        <v>11</v>
      </c>
      <c r="N30" s="433">
        <v>12</v>
      </c>
      <c r="O30" s="435" t="s">
        <v>992</v>
      </c>
    </row>
    <row r="31" spans="1:15" ht="13.5" thickTop="1">
      <c r="A31" s="436" t="s">
        <v>1287</v>
      </c>
      <c r="B31" s="437">
        <v>150</v>
      </c>
      <c r="C31" s="438">
        <f>$B$31</f>
        <v>150</v>
      </c>
      <c r="D31" s="438">
        <f>$B$31</f>
        <v>150</v>
      </c>
      <c r="E31" s="438">
        <f>$B$31</f>
        <v>150</v>
      </c>
      <c r="F31" s="438">
        <f>$B$31</f>
        <v>150</v>
      </c>
      <c r="G31" s="439">
        <f>$B$31</f>
        <v>150</v>
      </c>
      <c r="H31" s="440"/>
      <c r="I31" s="441">
        <f aca="true" t="shared" si="0" ref="I31:N31">$B$31</f>
        <v>150</v>
      </c>
      <c r="J31" s="438">
        <f t="shared" si="0"/>
        <v>150</v>
      </c>
      <c r="K31" s="438">
        <f t="shared" si="0"/>
        <v>150</v>
      </c>
      <c r="L31" s="438">
        <f t="shared" si="0"/>
        <v>150</v>
      </c>
      <c r="M31" s="438">
        <f t="shared" si="0"/>
        <v>150</v>
      </c>
      <c r="N31" s="439">
        <f t="shared" si="0"/>
        <v>150</v>
      </c>
      <c r="O31" s="440"/>
    </row>
    <row r="32" spans="1:15" ht="12.75">
      <c r="A32" s="436" t="s">
        <v>1288</v>
      </c>
      <c r="B32" s="442"/>
      <c r="C32" s="443"/>
      <c r="D32" s="443"/>
      <c r="E32" s="443"/>
      <c r="F32" s="443"/>
      <c r="G32" s="444"/>
      <c r="H32" s="445"/>
      <c r="I32" s="442"/>
      <c r="J32" s="443"/>
      <c r="K32" s="443"/>
      <c r="L32" s="443"/>
      <c r="M32" s="443"/>
      <c r="N32" s="444"/>
      <c r="O32" s="445"/>
    </row>
    <row r="33" spans="1:15" ht="12.75">
      <c r="A33" s="436" t="s">
        <v>1289</v>
      </c>
      <c r="B33" s="442"/>
      <c r="C33" s="443"/>
      <c r="D33" s="443"/>
      <c r="E33" s="443"/>
      <c r="F33" s="443"/>
      <c r="G33" s="444"/>
      <c r="H33" s="446"/>
      <c r="I33" s="442"/>
      <c r="J33" s="443"/>
      <c r="K33" s="443"/>
      <c r="L33" s="443"/>
      <c r="M33" s="443"/>
      <c r="N33" s="444"/>
      <c r="O33" s="446"/>
    </row>
    <row r="34" spans="1:15" ht="12.75">
      <c r="A34" s="436" t="s">
        <v>1270</v>
      </c>
      <c r="B34" s="442"/>
      <c r="C34" s="443"/>
      <c r="D34" s="443"/>
      <c r="E34" s="443"/>
      <c r="F34" s="443"/>
      <c r="G34" s="444"/>
      <c r="H34" s="446"/>
      <c r="I34" s="442"/>
      <c r="J34" s="443"/>
      <c r="K34" s="443"/>
      <c r="L34" s="443"/>
      <c r="M34" s="443"/>
      <c r="N34" s="444"/>
      <c r="O34" s="446"/>
    </row>
    <row r="35" spans="1:15" ht="12.75">
      <c r="A35" s="436" t="s">
        <v>1290</v>
      </c>
      <c r="B35" s="442"/>
      <c r="C35" s="443"/>
      <c r="D35" s="443"/>
      <c r="E35" s="443"/>
      <c r="F35" s="443"/>
      <c r="G35" s="444"/>
      <c r="H35" s="446"/>
      <c r="I35" s="442"/>
      <c r="J35" s="443"/>
      <c r="K35" s="443"/>
      <c r="L35" s="443"/>
      <c r="M35" s="443"/>
      <c r="N35" s="444"/>
      <c r="O35" s="446"/>
    </row>
    <row r="36" spans="1:15" ht="12.75">
      <c r="A36" s="436" t="s">
        <v>1291</v>
      </c>
      <c r="B36" s="447">
        <f aca="true" t="shared" si="1" ref="B36:G36">IF(B34="","",B34-B35)</f>
      </c>
      <c r="C36" s="448">
        <f t="shared" si="1"/>
      </c>
      <c r="D36" s="448">
        <f t="shared" si="1"/>
      </c>
      <c r="E36" s="448">
        <f t="shared" si="1"/>
      </c>
      <c r="F36" s="448">
        <f t="shared" si="1"/>
      </c>
      <c r="G36" s="449">
        <f t="shared" si="1"/>
      </c>
      <c r="H36" s="440"/>
      <c r="I36" s="447">
        <f aca="true" t="shared" si="2" ref="I36:N36">IF(I34="","",I34-I35)</f>
      </c>
      <c r="J36" s="448">
        <f t="shared" si="2"/>
      </c>
      <c r="K36" s="448">
        <f t="shared" si="2"/>
      </c>
      <c r="L36" s="448">
        <f t="shared" si="2"/>
      </c>
      <c r="M36" s="448">
        <f t="shared" si="2"/>
      </c>
      <c r="N36" s="449">
        <f t="shared" si="2"/>
      </c>
      <c r="O36" s="440"/>
    </row>
    <row r="37" spans="1:15" ht="12.75">
      <c r="A37" s="436" t="s">
        <v>1292</v>
      </c>
      <c r="B37" s="450">
        <f aca="true" t="shared" si="3" ref="B37:G37">IF(B36="","",(B33/B36))</f>
      </c>
      <c r="C37" s="451">
        <f t="shared" si="3"/>
      </c>
      <c r="D37" s="451">
        <f t="shared" si="3"/>
      </c>
      <c r="E37" s="451">
        <f t="shared" si="3"/>
      </c>
      <c r="F37" s="451">
        <f t="shared" si="3"/>
      </c>
      <c r="G37" s="452">
        <f t="shared" si="3"/>
      </c>
      <c r="H37" s="453"/>
      <c r="I37" s="450">
        <f aca="true" t="shared" si="4" ref="I37:N37">IF(I36="","",(I33/I36))</f>
      </c>
      <c r="J37" s="451">
        <f t="shared" si="4"/>
      </c>
      <c r="K37" s="451">
        <f t="shared" si="4"/>
      </c>
      <c r="L37" s="451">
        <f t="shared" si="4"/>
      </c>
      <c r="M37" s="451">
        <f t="shared" si="4"/>
      </c>
      <c r="N37" s="452">
        <f t="shared" si="4"/>
      </c>
      <c r="O37" s="453"/>
    </row>
    <row r="38" spans="1:15" ht="12.75">
      <c r="A38" s="436" t="s">
        <v>1293</v>
      </c>
      <c r="B38" s="454"/>
      <c r="C38" s="451">
        <f>IF(C35="","",$B$38)</f>
      </c>
      <c r="D38" s="451">
        <f>IF(D35="","",$B$38)</f>
      </c>
      <c r="E38" s="451">
        <f>IF(E35="","",$B$38)</f>
      </c>
      <c r="F38" s="451">
        <f>IF(F35="","",$B$38)</f>
      </c>
      <c r="G38" s="452">
        <f>IF(G35="","",$B$38)</f>
      </c>
      <c r="H38" s="453"/>
      <c r="I38" s="450">
        <f aca="true" t="shared" si="5" ref="I38:N38">IF(I35="","",$B$38)</f>
      </c>
      <c r="J38" s="451">
        <f t="shared" si="5"/>
      </c>
      <c r="K38" s="451">
        <f t="shared" si="5"/>
      </c>
      <c r="L38" s="451">
        <f t="shared" si="5"/>
      </c>
      <c r="M38" s="451">
        <f t="shared" si="5"/>
      </c>
      <c r="N38" s="452">
        <f t="shared" si="5"/>
      </c>
      <c r="O38" s="453"/>
    </row>
    <row r="39" spans="1:15" ht="12.75">
      <c r="A39" s="436" t="s">
        <v>1034</v>
      </c>
      <c r="B39" s="447">
        <f aca="true" t="shared" si="6" ref="B39:G39">IF(B37="","",(100*(B38-B37)/B38))</f>
      </c>
      <c r="C39" s="448">
        <f t="shared" si="6"/>
      </c>
      <c r="D39" s="448">
        <f t="shared" si="6"/>
      </c>
      <c r="E39" s="448">
        <f t="shared" si="6"/>
      </c>
      <c r="F39" s="448">
        <f t="shared" si="6"/>
      </c>
      <c r="G39" s="449">
        <f t="shared" si="6"/>
      </c>
      <c r="H39" s="440">
        <f>IF(B39="","",(AVERAGE(B39:G39)))</f>
      </c>
      <c r="I39" s="447">
        <f aca="true" t="shared" si="7" ref="I39:N39">IF(I37="","",(100*(I38-I37)/I38))</f>
      </c>
      <c r="J39" s="448">
        <f t="shared" si="7"/>
      </c>
      <c r="K39" s="448">
        <f t="shared" si="7"/>
      </c>
      <c r="L39" s="448">
        <f t="shared" si="7"/>
      </c>
      <c r="M39" s="448">
        <f t="shared" si="7"/>
      </c>
      <c r="N39" s="449">
        <f t="shared" si="7"/>
      </c>
      <c r="O39" s="440">
        <f>IF(I39="","",(AVERAGE(I39:N39)))</f>
      </c>
    </row>
    <row r="40" spans="1:15" ht="12.75">
      <c r="A40" s="436" t="s">
        <v>1294</v>
      </c>
      <c r="B40" s="447">
        <f aca="true" t="shared" si="8" ref="B40:G40">IF(B39="","",(B39*B36/100))</f>
      </c>
      <c r="C40" s="448">
        <f t="shared" si="8"/>
      </c>
      <c r="D40" s="448">
        <f t="shared" si="8"/>
      </c>
      <c r="E40" s="448">
        <f t="shared" si="8"/>
      </c>
      <c r="F40" s="448">
        <f t="shared" si="8"/>
      </c>
      <c r="G40" s="449">
        <f t="shared" si="8"/>
      </c>
      <c r="H40" s="440"/>
      <c r="I40" s="447">
        <f aca="true" t="shared" si="9" ref="I40:N40">IF(I39="","",(I39*I36/100))</f>
      </c>
      <c r="J40" s="448">
        <f t="shared" si="9"/>
      </c>
      <c r="K40" s="448">
        <f t="shared" si="9"/>
      </c>
      <c r="L40" s="448">
        <f t="shared" si="9"/>
      </c>
      <c r="M40" s="448">
        <f t="shared" si="9"/>
      </c>
      <c r="N40" s="449">
        <f t="shared" si="9"/>
      </c>
      <c r="O40" s="440"/>
    </row>
    <row r="41" spans="1:15" ht="13.5" thickBot="1">
      <c r="A41" s="436" t="s">
        <v>1295</v>
      </c>
      <c r="B41" s="455"/>
      <c r="C41" s="456"/>
      <c r="D41" s="456"/>
      <c r="E41" s="456"/>
      <c r="F41" s="456"/>
      <c r="G41" s="457"/>
      <c r="H41" s="458"/>
      <c r="I41" s="455"/>
      <c r="J41" s="456"/>
      <c r="K41" s="456"/>
      <c r="L41" s="456"/>
      <c r="M41" s="456"/>
      <c r="N41" s="457"/>
      <c r="O41" s="458"/>
    </row>
    <row r="42" spans="1:15" ht="14.25" thickBot="1" thickTop="1">
      <c r="A42" s="459" t="s">
        <v>1296</v>
      </c>
      <c r="B42" s="460"/>
      <c r="C42" s="460"/>
      <c r="D42" s="460"/>
      <c r="E42" s="460"/>
      <c r="F42" s="460"/>
      <c r="G42" s="460"/>
      <c r="H42" s="460"/>
      <c r="I42" s="460"/>
      <c r="J42" s="460"/>
      <c r="K42" s="460"/>
      <c r="L42" s="460"/>
      <c r="M42" s="460"/>
      <c r="N42" s="460"/>
      <c r="O42" s="460"/>
    </row>
    <row r="43" spans="1:15" ht="14.25" thickBot="1" thickTop="1">
      <c r="A43" s="430" t="s">
        <v>1286</v>
      </c>
      <c r="B43" s="461">
        <f aca="true" t="shared" si="10" ref="B43:G43">B30</f>
        <v>1</v>
      </c>
      <c r="C43" s="461">
        <f t="shared" si="10"/>
        <v>2</v>
      </c>
      <c r="D43" s="461">
        <f t="shared" si="10"/>
        <v>3</v>
      </c>
      <c r="E43" s="461">
        <f t="shared" si="10"/>
        <v>4</v>
      </c>
      <c r="F43" s="461">
        <f t="shared" si="10"/>
        <v>5</v>
      </c>
      <c r="G43" s="461">
        <f t="shared" si="10"/>
        <v>6</v>
      </c>
      <c r="H43" s="462" t="s">
        <v>992</v>
      </c>
      <c r="I43" s="463">
        <f aca="true" t="shared" si="11" ref="I43:N43">I30</f>
        <v>7</v>
      </c>
      <c r="J43" s="461">
        <f t="shared" si="11"/>
        <v>8</v>
      </c>
      <c r="K43" s="461">
        <f t="shared" si="11"/>
        <v>9</v>
      </c>
      <c r="L43" s="461">
        <f t="shared" si="11"/>
        <v>10</v>
      </c>
      <c r="M43" s="461">
        <f t="shared" si="11"/>
        <v>11</v>
      </c>
      <c r="N43" s="464">
        <f t="shared" si="11"/>
        <v>12</v>
      </c>
      <c r="O43" s="462" t="s">
        <v>992</v>
      </c>
    </row>
    <row r="44" spans="1:15" ht="13.5" thickTop="1">
      <c r="A44" s="465" t="s">
        <v>1270</v>
      </c>
      <c r="B44" s="437"/>
      <c r="C44" s="1094"/>
      <c r="D44" s="1094"/>
      <c r="E44" s="1094"/>
      <c r="F44" s="1094"/>
      <c r="G44" s="1095"/>
      <c r="H44" s="446"/>
      <c r="I44" s="437"/>
      <c r="J44" s="1094"/>
      <c r="K44" s="1094"/>
      <c r="L44" s="1094"/>
      <c r="M44" s="1094"/>
      <c r="N44" s="1095"/>
      <c r="O44" s="446"/>
    </row>
    <row r="45" spans="1:15" ht="12.75">
      <c r="A45" s="465" t="s">
        <v>1297</v>
      </c>
      <c r="B45" s="447" t="str">
        <f aca="true" t="shared" si="12" ref="B45:G45">IF(B44-B34&gt;0,B44-B33," ")</f>
        <v> </v>
      </c>
      <c r="C45" s="448" t="str">
        <f t="shared" si="12"/>
        <v> </v>
      </c>
      <c r="D45" s="448" t="str">
        <f t="shared" si="12"/>
        <v> </v>
      </c>
      <c r="E45" s="448" t="str">
        <f t="shared" si="12"/>
        <v> </v>
      </c>
      <c r="F45" s="448" t="str">
        <f t="shared" si="12"/>
        <v> </v>
      </c>
      <c r="G45" s="449" t="str">
        <f t="shared" si="12"/>
        <v> </v>
      </c>
      <c r="H45" s="440"/>
      <c r="I45" s="447" t="str">
        <f aca="true" t="shared" si="13" ref="I45:N45">IF(I44-I34&gt;0,I44-I33," ")</f>
        <v> </v>
      </c>
      <c r="J45" s="448" t="str">
        <f t="shared" si="13"/>
        <v> </v>
      </c>
      <c r="K45" s="448" t="str">
        <f t="shared" si="13"/>
        <v> </v>
      </c>
      <c r="L45" s="448" t="str">
        <f t="shared" si="13"/>
        <v> </v>
      </c>
      <c r="M45" s="448" t="str">
        <f t="shared" si="13"/>
        <v> </v>
      </c>
      <c r="N45" s="449" t="str">
        <f t="shared" si="13"/>
        <v> </v>
      </c>
      <c r="O45" s="440"/>
    </row>
    <row r="46" spans="1:15" ht="13.5" thickBot="1">
      <c r="A46" s="465" t="s">
        <v>1298</v>
      </c>
      <c r="B46" s="1096" t="str">
        <f aca="true" t="shared" si="14" ref="B46:G46">IF(ISNUMBER(B45),100*B45/B40," ")</f>
        <v> </v>
      </c>
      <c r="C46" s="471" t="str">
        <f t="shared" si="14"/>
        <v> </v>
      </c>
      <c r="D46" s="471" t="str">
        <f t="shared" si="14"/>
        <v> </v>
      </c>
      <c r="E46" s="471" t="str">
        <f t="shared" si="14"/>
        <v> </v>
      </c>
      <c r="F46" s="471" t="str">
        <f t="shared" si="14"/>
        <v> </v>
      </c>
      <c r="G46" s="1097" t="str">
        <f t="shared" si="14"/>
        <v> </v>
      </c>
      <c r="H46" s="440">
        <f>IF(ISERROR(AVERAGE(B46:G46)),"",AVERAGE(B46:G46))</f>
      </c>
      <c r="I46" s="1096" t="str">
        <f aca="true" t="shared" si="15" ref="I46:N46">IF(ISNUMBER(I45),100*I45/I40," ")</f>
        <v> </v>
      </c>
      <c r="J46" s="471" t="str">
        <f t="shared" si="15"/>
        <v> </v>
      </c>
      <c r="K46" s="471" t="str">
        <f t="shared" si="15"/>
        <v> </v>
      </c>
      <c r="L46" s="471" t="str">
        <f t="shared" si="15"/>
        <v> </v>
      </c>
      <c r="M46" s="471" t="str">
        <f t="shared" si="15"/>
        <v> </v>
      </c>
      <c r="N46" s="1097" t="str">
        <f t="shared" si="15"/>
        <v> </v>
      </c>
      <c r="O46" s="440">
        <f>IF(ISERROR(AVERAGE(I46:N46)),"",AVERAGE(I46:N46))</f>
      </c>
    </row>
    <row r="47" spans="1:15" ht="15.75" thickBot="1" thickTop="1">
      <c r="A47" s="459" t="s">
        <v>1299</v>
      </c>
      <c r="B47" s="459"/>
      <c r="C47" s="459"/>
      <c r="D47" s="459"/>
      <c r="E47" s="460"/>
      <c r="F47" s="460"/>
      <c r="G47" s="460"/>
      <c r="H47" s="466"/>
      <c r="I47" s="460"/>
      <c r="J47" s="460"/>
      <c r="K47" s="460"/>
      <c r="L47" s="460"/>
      <c r="M47" s="460"/>
      <c r="N47" s="460"/>
      <c r="O47" s="466"/>
    </row>
    <row r="48" spans="1:15" ht="14.25" thickBot="1" thickTop="1">
      <c r="A48" s="430" t="s">
        <v>1286</v>
      </c>
      <c r="B48" s="461">
        <f aca="true" t="shared" si="16" ref="B48:G48">B43</f>
        <v>1</v>
      </c>
      <c r="C48" s="461">
        <f t="shared" si="16"/>
        <v>2</v>
      </c>
      <c r="D48" s="461">
        <f t="shared" si="16"/>
        <v>3</v>
      </c>
      <c r="E48" s="461">
        <f t="shared" si="16"/>
        <v>4</v>
      </c>
      <c r="F48" s="461">
        <f t="shared" si="16"/>
        <v>5</v>
      </c>
      <c r="G48" s="461">
        <f t="shared" si="16"/>
        <v>6</v>
      </c>
      <c r="H48" s="462" t="s">
        <v>992</v>
      </c>
      <c r="I48" s="463">
        <f aca="true" t="shared" si="17" ref="I48:N48">I43</f>
        <v>7</v>
      </c>
      <c r="J48" s="461">
        <f t="shared" si="17"/>
        <v>8</v>
      </c>
      <c r="K48" s="461">
        <f t="shared" si="17"/>
        <v>9</v>
      </c>
      <c r="L48" s="461">
        <f t="shared" si="17"/>
        <v>10</v>
      </c>
      <c r="M48" s="461">
        <f t="shared" si="17"/>
        <v>11</v>
      </c>
      <c r="N48" s="464">
        <f t="shared" si="17"/>
        <v>12</v>
      </c>
      <c r="O48" s="462" t="s">
        <v>992</v>
      </c>
    </row>
    <row r="49" spans="1:15" ht="13.5" thickTop="1">
      <c r="A49" s="465" t="s">
        <v>1288</v>
      </c>
      <c r="B49" s="437"/>
      <c r="C49" s="1094"/>
      <c r="D49" s="1094"/>
      <c r="E49" s="1094"/>
      <c r="F49" s="1094"/>
      <c r="G49" s="1095"/>
      <c r="H49" s="445"/>
      <c r="I49" s="437"/>
      <c r="J49" s="1094"/>
      <c r="K49" s="1094"/>
      <c r="L49" s="1094"/>
      <c r="M49" s="1094"/>
      <c r="N49" s="1095"/>
      <c r="O49" s="445"/>
    </row>
    <row r="50" spans="1:15" ht="12.75">
      <c r="A50" s="465" t="s">
        <v>1270</v>
      </c>
      <c r="B50" s="442"/>
      <c r="C50" s="443"/>
      <c r="D50" s="443"/>
      <c r="E50" s="443"/>
      <c r="F50" s="443"/>
      <c r="G50" s="444"/>
      <c r="H50" s="446"/>
      <c r="I50" s="442"/>
      <c r="J50" s="443"/>
      <c r="K50" s="443"/>
      <c r="L50" s="443"/>
      <c r="M50" s="443"/>
      <c r="N50" s="444"/>
      <c r="O50" s="446"/>
    </row>
    <row r="51" spans="1:15" ht="12.75">
      <c r="A51" s="465" t="s">
        <v>1297</v>
      </c>
      <c r="B51" s="447" t="str">
        <f aca="true" t="shared" si="18" ref="B51:G51">IF(B50-B34&gt;0,B50-B33," ")</f>
        <v> </v>
      </c>
      <c r="C51" s="448" t="str">
        <f t="shared" si="18"/>
        <v> </v>
      </c>
      <c r="D51" s="448" t="str">
        <f t="shared" si="18"/>
        <v> </v>
      </c>
      <c r="E51" s="448" t="str">
        <f t="shared" si="18"/>
        <v> </v>
      </c>
      <c r="F51" s="448" t="str">
        <f t="shared" si="18"/>
        <v> </v>
      </c>
      <c r="G51" s="449" t="str">
        <f t="shared" si="18"/>
        <v> </v>
      </c>
      <c r="H51" s="440"/>
      <c r="I51" s="447" t="str">
        <f aca="true" t="shared" si="19" ref="I51:N51">IF(I50-I34&gt;0,I50-I33," ")</f>
        <v> </v>
      </c>
      <c r="J51" s="448" t="str">
        <f t="shared" si="19"/>
        <v> </v>
      </c>
      <c r="K51" s="448" t="str">
        <f t="shared" si="19"/>
        <v> </v>
      </c>
      <c r="L51" s="448" t="str">
        <f t="shared" si="19"/>
        <v> </v>
      </c>
      <c r="M51" s="448" t="str">
        <f t="shared" si="19"/>
        <v> </v>
      </c>
      <c r="N51" s="449" t="str">
        <f t="shared" si="19"/>
        <v> </v>
      </c>
      <c r="O51" s="467"/>
    </row>
    <row r="52" spans="1:15" ht="12.75">
      <c r="A52" s="465" t="s">
        <v>1298</v>
      </c>
      <c r="B52" s="447" t="str">
        <f aca="true" t="shared" si="20" ref="B52:G52">IF(ISNUMBER(B51),100*B51/B40," ")</f>
        <v> </v>
      </c>
      <c r="C52" s="448" t="str">
        <f t="shared" si="20"/>
        <v> </v>
      </c>
      <c r="D52" s="448" t="str">
        <f t="shared" si="20"/>
        <v> </v>
      </c>
      <c r="E52" s="448" t="str">
        <f t="shared" si="20"/>
        <v> </v>
      </c>
      <c r="F52" s="448" t="str">
        <f t="shared" si="20"/>
        <v> </v>
      </c>
      <c r="G52" s="449" t="str">
        <f t="shared" si="20"/>
        <v> </v>
      </c>
      <c r="H52" s="468">
        <f>IF(ISERROR(AVERAGE(B52:G52)),"",AVERAGE(B52:G52))</f>
      </c>
      <c r="I52" s="447" t="str">
        <f aca="true" t="shared" si="21" ref="I52:N52">IF(ISNUMBER(I51),100*I51/I40," ")</f>
        <v> </v>
      </c>
      <c r="J52" s="448" t="str">
        <f t="shared" si="21"/>
        <v> </v>
      </c>
      <c r="K52" s="448" t="str">
        <f t="shared" si="21"/>
        <v> </v>
      </c>
      <c r="L52" s="448" t="str">
        <f t="shared" si="21"/>
        <v> </v>
      </c>
      <c r="M52" s="448" t="str">
        <f t="shared" si="21"/>
        <v> </v>
      </c>
      <c r="N52" s="449" t="str">
        <f t="shared" si="21"/>
        <v> </v>
      </c>
      <c r="O52" s="468">
        <f>IF(ISERROR(AVERAGE(I52:N52)),"",AVERAGE(I52:N52))</f>
      </c>
    </row>
    <row r="53" spans="1:15" ht="12.75">
      <c r="A53" s="465" t="s">
        <v>1295</v>
      </c>
      <c r="B53" s="1098"/>
      <c r="C53" s="469"/>
      <c r="D53" s="469"/>
      <c r="E53" s="469"/>
      <c r="F53" s="469"/>
      <c r="G53" s="1099"/>
      <c r="H53" s="467"/>
      <c r="I53" s="1098"/>
      <c r="J53" s="469"/>
      <c r="K53" s="469"/>
      <c r="L53" s="469"/>
      <c r="M53" s="469"/>
      <c r="N53" s="1099"/>
      <c r="O53" s="467"/>
    </row>
    <row r="54" spans="1:15" ht="12.75">
      <c r="A54" s="465" t="s">
        <v>1300</v>
      </c>
      <c r="B54" s="447">
        <f aca="true" t="shared" si="22" ref="B54:G54">IF(B49="","",((2*B53)/((B31/25.4)*(B49/25.4)*PI())))</f>
      </c>
      <c r="C54" s="448">
        <f t="shared" si="22"/>
      </c>
      <c r="D54" s="448">
        <f t="shared" si="22"/>
      </c>
      <c r="E54" s="448">
        <f t="shared" si="22"/>
      </c>
      <c r="F54" s="448">
        <f t="shared" si="22"/>
      </c>
      <c r="G54" s="449">
        <f t="shared" si="22"/>
      </c>
      <c r="H54" s="468">
        <f>IF(ISERROR(AVERAGE(B54:G54)),"",AVERAGE(B54:G54))</f>
      </c>
      <c r="I54" s="447">
        <f aca="true" t="shared" si="23" ref="I54:N54">IF(I49="","",((2*I53)/((I31/25.4)*(I49/25.4)*PI())))</f>
      </c>
      <c r="J54" s="448">
        <f t="shared" si="23"/>
      </c>
      <c r="K54" s="448">
        <f t="shared" si="23"/>
      </c>
      <c r="L54" s="448">
        <f t="shared" si="23"/>
      </c>
      <c r="M54" s="448">
        <f t="shared" si="23"/>
      </c>
      <c r="N54" s="449">
        <f t="shared" si="23"/>
      </c>
      <c r="O54" s="468">
        <f>IF(ISERROR(AVERAGE(I54:N54)),"",AVERAGE(I54:N54))</f>
      </c>
    </row>
    <row r="55" spans="1:15" ht="13.5" thickBot="1">
      <c r="A55" s="470" t="s">
        <v>1301</v>
      </c>
      <c r="B55" s="1096">
        <f aca="true" t="shared" si="24" ref="B55:G55">IF(ISNUMBER(B41),(IF(ISNUMBER(B49),"",IF((2*B41)/((B31/25.4)*(B32/25.4)*PI())&gt;0,(2*B41)/((B31/25.4)*(B32/25.4)*PI())," "))),"")</f>
      </c>
      <c r="C55" s="471">
        <f t="shared" si="24"/>
      </c>
      <c r="D55" s="471">
        <f t="shared" si="24"/>
      </c>
      <c r="E55" s="471">
        <f t="shared" si="24"/>
      </c>
      <c r="F55" s="471">
        <f t="shared" si="24"/>
      </c>
      <c r="G55" s="1097">
        <f t="shared" si="24"/>
      </c>
      <c r="H55" s="472">
        <f>IF(ISERROR(AVERAGE(B55:G55)),"",AVERAGE(B55:G55))</f>
      </c>
      <c r="I55" s="1096">
        <f aca="true" t="shared" si="25" ref="I55:N55">IF(ISNUMBER(I41),(IF(ISNUMBER(I49),"",IF((2*I41)/((I31/25.4)*(I32/25.4)*PI())&gt;0,(2*I41)/((I31/25.4)*(I32/25.4)*PI())," "))),"")</f>
      </c>
      <c r="J55" s="471">
        <f t="shared" si="25"/>
      </c>
      <c r="K55" s="471">
        <f t="shared" si="25"/>
      </c>
      <c r="L55" s="471">
        <f t="shared" si="25"/>
      </c>
      <c r="M55" s="471">
        <f t="shared" si="25"/>
      </c>
      <c r="N55" s="1097">
        <f t="shared" si="25"/>
      </c>
      <c r="O55" s="472">
        <f>IF(ISERROR(AVERAGE(I55:N55)),"",AVERAGE(I55:N55))</f>
      </c>
    </row>
    <row r="56" spans="1:15" ht="13.5" thickTop="1">
      <c r="A56" s="473"/>
      <c r="B56" s="473"/>
      <c r="C56" s="473"/>
      <c r="D56" s="473"/>
      <c r="E56" s="473"/>
      <c r="F56" s="473"/>
      <c r="G56" s="473"/>
      <c r="H56" s="474"/>
      <c r="I56" s="475"/>
      <c r="J56" s="473"/>
      <c r="K56" s="473"/>
      <c r="L56" s="473"/>
      <c r="M56" s="473"/>
      <c r="N56" s="473"/>
      <c r="O56" s="474"/>
    </row>
    <row r="57" spans="2:14" ht="13.5">
      <c r="B57" s="473"/>
      <c r="C57" s="476" t="s">
        <v>1302</v>
      </c>
      <c r="D57" s="477"/>
      <c r="E57" s="478"/>
      <c r="F57" s="477"/>
      <c r="G57" s="479">
        <f>IF(H54="","",(H54/H55*100))</f>
      </c>
      <c r="H57" s="477"/>
      <c r="I57" s="478"/>
      <c r="J57" s="476" t="s">
        <v>1303</v>
      </c>
      <c r="K57" s="477"/>
      <c r="L57" s="477"/>
      <c r="M57" s="477"/>
      <c r="N57" s="479">
        <f>IF(O54="","",(O54/O55*100))</f>
      </c>
    </row>
    <row r="58" spans="1:14" ht="12.75">
      <c r="A58" s="480"/>
      <c r="B58" s="480"/>
      <c r="M58" s="475"/>
      <c r="N58" s="475"/>
    </row>
    <row r="59" spans="1:15" ht="12.75">
      <c r="A59" s="481" t="s">
        <v>1245</v>
      </c>
      <c r="B59" s="482"/>
      <c r="C59" s="482"/>
      <c r="D59" s="482"/>
      <c r="E59" s="482"/>
      <c r="F59" s="482"/>
      <c r="G59" s="482"/>
      <c r="H59" s="482"/>
      <c r="I59" s="482"/>
      <c r="J59" s="482"/>
      <c r="K59" s="482"/>
      <c r="L59" s="482"/>
      <c r="M59" s="482"/>
      <c r="N59" s="482"/>
      <c r="O59" s="482"/>
    </row>
    <row r="60" spans="1:15" s="9" customFormat="1" ht="12.75">
      <c r="A60" s="483"/>
      <c r="B60" s="483"/>
      <c r="C60" s="483"/>
      <c r="D60" s="483"/>
      <c r="E60" s="483"/>
      <c r="F60" s="483"/>
      <c r="G60" s="483"/>
      <c r="H60" s="483"/>
      <c r="I60" s="483"/>
      <c r="J60" s="483"/>
      <c r="K60" s="483"/>
      <c r="L60" s="483"/>
      <c r="M60" s="483"/>
      <c r="N60" s="483"/>
      <c r="O60" s="483"/>
    </row>
    <row r="61" spans="1:15" s="9" customFormat="1" ht="12.75">
      <c r="A61" s="483"/>
      <c r="B61" s="483"/>
      <c r="C61" s="483"/>
      <c r="D61" s="483"/>
      <c r="E61" s="483"/>
      <c r="F61" s="483"/>
      <c r="G61" s="483"/>
      <c r="H61" s="483"/>
      <c r="I61" s="483"/>
      <c r="J61" s="483"/>
      <c r="K61" s="483"/>
      <c r="L61" s="483"/>
      <c r="M61" s="483"/>
      <c r="N61" s="483"/>
      <c r="O61" s="483"/>
    </row>
    <row r="62" s="9" customFormat="1" ht="12.75"/>
    <row r="63" s="9" customFormat="1" ht="12.75"/>
    <row r="64" s="9" customFormat="1" ht="12.75"/>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sheetData>
  <sheetProtection password="C550" sheet="1"/>
  <mergeCells count="22">
    <mergeCell ref="C27:D27"/>
    <mergeCell ref="C28:D28"/>
    <mergeCell ref="C23:D23"/>
    <mergeCell ref="C24:D24"/>
    <mergeCell ref="C25:D25"/>
    <mergeCell ref="C26:D26"/>
    <mergeCell ref="G28:I28"/>
    <mergeCell ref="E23:F23"/>
    <mergeCell ref="E24:F24"/>
    <mergeCell ref="E25:F25"/>
    <mergeCell ref="G27:I27"/>
    <mergeCell ref="E28:F28"/>
    <mergeCell ref="E27:F27"/>
    <mergeCell ref="L9:O10"/>
    <mergeCell ref="H18:I18"/>
    <mergeCell ref="G20:I20"/>
    <mergeCell ref="G23:I23"/>
    <mergeCell ref="E26:F26"/>
    <mergeCell ref="L11:O12"/>
    <mergeCell ref="G24:I24"/>
    <mergeCell ref="G25:I25"/>
    <mergeCell ref="G26:I26"/>
  </mergeCells>
  <printOptions horizontalCentered="1"/>
  <pageMargins left="0" right="0" top="0.5" bottom="0.5" header="0.5" footer="0.5"/>
  <pageSetup fitToHeight="1" fitToWidth="1" orientation="portrait" scale="87" r:id="rId2"/>
  <rowBreaks count="1" manualBreakCount="1">
    <brk id="61" max="65535" man="1"/>
  </rowBreaks>
  <ignoredErrors>
    <ignoredError sqref="H46 H39 H52 H54:H55" formula="1"/>
  </ignoredErrors>
  <drawing r:id="rId1"/>
</worksheet>
</file>

<file path=xl/worksheets/sheet9.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cols>
    <col min="1" max="16384" width="9.140625" style="763"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MixPack2012</dc:title>
  <dc:subject>Version 8.03</dc:subject>
  <dc:creator>Michael T. Black</dc:creator>
  <cp:keywords/>
  <dc:description/>
  <cp:lastModifiedBy>KYTC</cp:lastModifiedBy>
  <cp:lastPrinted>2012-06-29T13:33:24Z</cp:lastPrinted>
  <dcterms:created xsi:type="dcterms:W3CDTF">1998-03-19T13:34:06Z</dcterms:created>
  <dcterms:modified xsi:type="dcterms:W3CDTF">2014-07-09T14:01:48Z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terialDisciplines_Map">
    <vt:lpwstr>D:\My Documents\Materials\Current\Maps\Disciplines_20060919_Map.xsd</vt:lpwstr>
  </property>
  <property fmtid="{D5CDD505-2E9C-101B-9397-08002B2CF9AE}" pid="3" name="Area">
    <vt:lpwstr>MixPack</vt:lpwstr>
  </property>
  <property fmtid="{D5CDD505-2E9C-101B-9397-08002B2CF9AE}" pid="4" name="Description0">
    <vt:lpwstr/>
  </property>
  <property fmtid="{D5CDD505-2E9C-101B-9397-08002B2CF9AE}" pid="5" name="PublishingExpirationDate">
    <vt:lpwstr/>
  </property>
  <property fmtid="{D5CDD505-2E9C-101B-9397-08002B2CF9AE}" pid="6" name="PublishingStartDate">
    <vt:lpwstr/>
  </property>
  <property fmtid="{D5CDD505-2E9C-101B-9397-08002B2CF9AE}" pid="7" name="Document Version">
    <vt:lpwstr>N/A</vt:lpwstr>
  </property>
  <property fmtid="{D5CDD505-2E9C-101B-9397-08002B2CF9AE}" pid="8" name="Lab">
    <vt:lpwstr>N/A</vt:lpwstr>
  </property>
  <property fmtid="{D5CDD505-2E9C-101B-9397-08002B2CF9AE}" pid="9" name="display_urn:schemas-microsoft-com:office:office#Editor">
    <vt:lpwstr>Higdon, Mark D (KYTC-WSC)</vt:lpwstr>
  </property>
  <property fmtid="{D5CDD505-2E9C-101B-9397-08002B2CF9AE}" pid="10" name="display_urn:schemas-microsoft-com:office:office#Author">
    <vt:lpwstr>Higdon, Mark D (KYTC-WSC)</vt:lpwstr>
  </property>
</Properties>
</file>